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DieseArbeitsmappe"/>
  <mc:AlternateContent xmlns:mc="http://schemas.openxmlformats.org/markup-compatibility/2006">
    <mc:Choice Requires="x15">
      <x15ac:absPath xmlns:x15ac="http://schemas.microsoft.com/office/spreadsheetml/2010/11/ac" url="C:\Excel-Berater-Support\Anfragen\"/>
    </mc:Choice>
  </mc:AlternateContent>
  <xr:revisionPtr revIDLastSave="0" documentId="13_ncr:1_{EB7395D0-45D0-4F69-B2ED-66552B88786E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Start" sheetId="2" r:id="rId1"/>
    <sheet name="Statistik" sheetId="5" r:id="rId2"/>
    <sheet name="alt KW 53" sheetId="1" r:id="rId3"/>
    <sheet name="KW 1" sheetId="3" r:id="rId4"/>
    <sheet name="KW 2" sheetId="4" r:id="rId5"/>
    <sheet name="KW 3" sheetId="6" r:id="rId6"/>
    <sheet name="KW 4" sheetId="7" r:id="rId7"/>
    <sheet name="KW 5" sheetId="8" r:id="rId8"/>
    <sheet name="KW 6" sheetId="9" r:id="rId9"/>
    <sheet name="KW 7" sheetId="10" r:id="rId10"/>
    <sheet name="KW 8" sheetId="11" r:id="rId11"/>
    <sheet name="KW 9" sheetId="12" r:id="rId12"/>
    <sheet name="KW 10" sheetId="13" r:id="rId13"/>
    <sheet name="KW 11" sheetId="14" r:id="rId14"/>
    <sheet name="KW 12" sheetId="15" r:id="rId15"/>
    <sheet name="KW 13" sheetId="16" r:id="rId16"/>
    <sheet name="KW 14" sheetId="17" r:id="rId17"/>
    <sheet name="KW 15" sheetId="18" r:id="rId18"/>
    <sheet name="KW 16" sheetId="19" r:id="rId19"/>
    <sheet name="KW 17" sheetId="20" r:id="rId20"/>
    <sheet name="KW 18" sheetId="21" r:id="rId21"/>
    <sheet name="KW 19" sheetId="22" r:id="rId22"/>
    <sheet name="KW 20" sheetId="23" r:id="rId23"/>
    <sheet name="KW 21" sheetId="24" r:id="rId24"/>
    <sheet name="KW 22" sheetId="25" r:id="rId25"/>
    <sheet name="KW 23" sheetId="26" r:id="rId26"/>
    <sheet name="KW 24" sheetId="27" r:id="rId27"/>
    <sheet name="KW 25" sheetId="28" r:id="rId28"/>
    <sheet name="KW 26" sheetId="29" r:id="rId29"/>
    <sheet name="KW 27" sheetId="30" r:id="rId30"/>
    <sheet name="KW 28" sheetId="31" r:id="rId31"/>
    <sheet name="KW 29" sheetId="32" r:id="rId32"/>
    <sheet name="KW 30" sheetId="33" r:id="rId33"/>
    <sheet name="KW 31" sheetId="34" r:id="rId34"/>
    <sheet name="KW 32" sheetId="35" r:id="rId35"/>
    <sheet name="KW 33" sheetId="36" r:id="rId36"/>
    <sheet name="KW 34" sheetId="37" r:id="rId37"/>
    <sheet name="KW 35" sheetId="38" r:id="rId38"/>
    <sheet name="KW 36" sheetId="39" r:id="rId39"/>
    <sheet name="KW 37" sheetId="40" r:id="rId40"/>
    <sheet name="KW 38" sheetId="41" r:id="rId41"/>
    <sheet name="KW 39" sheetId="42" r:id="rId42"/>
    <sheet name="KW 40" sheetId="43" r:id="rId43"/>
    <sheet name="KW 41" sheetId="44" r:id="rId44"/>
    <sheet name="KW 42" sheetId="45" r:id="rId45"/>
    <sheet name="KW 43" sheetId="46" r:id="rId46"/>
    <sheet name="KW 44" sheetId="47" r:id="rId47"/>
    <sheet name="KW 45" sheetId="48" r:id="rId48"/>
    <sheet name="KW 46" sheetId="49" r:id="rId49"/>
    <sheet name="KW 47" sheetId="50" r:id="rId50"/>
    <sheet name="KW 48" sheetId="51" r:id="rId51"/>
    <sheet name="KW 49" sheetId="52" r:id="rId52"/>
    <sheet name="KW 50" sheetId="53" r:id="rId53"/>
    <sheet name="KW 51" sheetId="54" r:id="rId54"/>
    <sheet name="KW 52" sheetId="55" r:id="rId55"/>
    <sheet name="KW 53.1" sheetId="56" r:id="rId56"/>
    <sheet name="KW 54" sheetId="57" r:id="rId5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2" l="1"/>
  <c r="O1" i="1"/>
  <c r="F5" i="2" l="1"/>
  <c r="F6" i="2"/>
  <c r="B2" i="2" l="1"/>
  <c r="B3" i="2" s="1"/>
  <c r="I2" i="2" l="1"/>
  <c r="J2" i="2" s="1"/>
  <c r="O3" i="1" l="1"/>
  <c r="C3" i="3"/>
  <c r="C3" i="40" l="1"/>
  <c r="C3" i="38"/>
  <c r="C3" i="28"/>
  <c r="C3" i="25"/>
  <c r="C3" i="56"/>
  <c r="C3" i="50"/>
  <c r="C3" i="43"/>
  <c r="C3" i="39"/>
  <c r="C3" i="37"/>
  <c r="C3" i="35"/>
  <c r="C3" i="31"/>
  <c r="C3" i="23"/>
  <c r="C3" i="46"/>
  <c r="C3" i="26"/>
  <c r="C3" i="54"/>
  <c r="C3" i="48"/>
  <c r="C3" i="41"/>
  <c r="C3" i="29"/>
  <c r="C3" i="33"/>
  <c r="C3" i="57"/>
  <c r="C3" i="51"/>
  <c r="C3" i="44"/>
  <c r="C3" i="32"/>
  <c r="C3" i="24"/>
  <c r="C3" i="47"/>
  <c r="C3" i="34"/>
  <c r="C3" i="27"/>
  <c r="C3" i="19"/>
  <c r="C3" i="55"/>
  <c r="C3" i="53"/>
  <c r="C3" i="49"/>
  <c r="C3" i="42"/>
  <c r="C3" i="36"/>
  <c r="C3" i="30"/>
  <c r="C3" i="22"/>
  <c r="C3" i="20"/>
  <c r="C3" i="45"/>
  <c r="C3" i="21"/>
  <c r="C3" i="18"/>
  <c r="C3" i="17"/>
  <c r="C3" i="14"/>
  <c r="C3" i="12"/>
  <c r="C3" i="16"/>
  <c r="C3" i="13"/>
  <c r="C3" i="10"/>
  <c r="C3" i="15"/>
  <c r="C3" i="11"/>
  <c r="C3" i="9"/>
  <c r="C3" i="8"/>
  <c r="C3" i="7"/>
  <c r="C2" i="3"/>
  <c r="C1" i="3" s="1"/>
  <c r="O2" i="1"/>
  <c r="M3" i="1"/>
  <c r="C3" i="6"/>
  <c r="C3" i="4"/>
  <c r="D3" i="24" l="1"/>
  <c r="C2" i="24"/>
  <c r="C1" i="24" s="1"/>
  <c r="D3" i="32"/>
  <c r="C2" i="32"/>
  <c r="C1" i="32" s="1"/>
  <c r="C2" i="21"/>
  <c r="C1" i="21" s="1"/>
  <c r="C2" i="53"/>
  <c r="C1" i="53" s="1"/>
  <c r="E3" i="53"/>
  <c r="D3" i="53"/>
  <c r="D3" i="44"/>
  <c r="C2" i="44"/>
  <c r="C1" i="44" s="1"/>
  <c r="D3" i="26"/>
  <c r="C2" i="26"/>
  <c r="C1" i="26" s="1"/>
  <c r="D3" i="50"/>
  <c r="C2" i="50"/>
  <c r="C1" i="50" s="1"/>
  <c r="D3" i="39"/>
  <c r="C2" i="39"/>
  <c r="C1" i="39" s="1"/>
  <c r="D3" i="49"/>
  <c r="C2" i="49"/>
  <c r="C1" i="49" s="1"/>
  <c r="D3" i="45"/>
  <c r="C2" i="45"/>
  <c r="C1" i="45" s="1"/>
  <c r="D3" i="55"/>
  <c r="C2" i="55"/>
  <c r="C1" i="55" s="1"/>
  <c r="D3" i="51"/>
  <c r="C2" i="51"/>
  <c r="C1" i="51" s="1"/>
  <c r="D3" i="46"/>
  <c r="C2" i="46"/>
  <c r="C1" i="46" s="1"/>
  <c r="D3" i="56"/>
  <c r="C2" i="56"/>
  <c r="C1" i="56" s="1"/>
  <c r="C2" i="20"/>
  <c r="C1" i="20" s="1"/>
  <c r="C2" i="19"/>
  <c r="C1" i="19" s="1"/>
  <c r="D3" i="57"/>
  <c r="C2" i="57"/>
  <c r="C1" i="57" s="1"/>
  <c r="D3" i="23"/>
  <c r="C2" i="23"/>
  <c r="C1" i="23" s="1"/>
  <c r="D3" i="25"/>
  <c r="C2" i="25"/>
  <c r="C1" i="25" s="1"/>
  <c r="D3" i="48"/>
  <c r="C2" i="48"/>
  <c r="C1" i="48" s="1"/>
  <c r="D3" i="22"/>
  <c r="C2" i="22"/>
  <c r="C1" i="22" s="1"/>
  <c r="D3" i="27"/>
  <c r="C2" i="27"/>
  <c r="C1" i="27" s="1"/>
  <c r="D3" i="33"/>
  <c r="C2" i="33"/>
  <c r="C1" i="33" s="1"/>
  <c r="D3" i="31"/>
  <c r="C2" i="31"/>
  <c r="C1" i="31" s="1"/>
  <c r="D3" i="28"/>
  <c r="C2" i="28"/>
  <c r="C1" i="28" s="1"/>
  <c r="D3" i="54"/>
  <c r="C2" i="54"/>
  <c r="C1" i="54" s="1"/>
  <c r="D3" i="30"/>
  <c r="C2" i="30"/>
  <c r="C1" i="30" s="1"/>
  <c r="D3" i="34"/>
  <c r="E3" i="34"/>
  <c r="G3" i="34" s="1"/>
  <c r="I3" i="34" s="1"/>
  <c r="K3" i="34" s="1"/>
  <c r="M3" i="34" s="1"/>
  <c r="O3" i="34" s="1"/>
  <c r="C2" i="34"/>
  <c r="C1" i="34" s="1"/>
  <c r="D3" i="29"/>
  <c r="C2" i="29"/>
  <c r="C1" i="29" s="1"/>
  <c r="C2" i="35"/>
  <c r="C1" i="35" s="1"/>
  <c r="E3" i="35"/>
  <c r="D3" i="35"/>
  <c r="D3" i="38"/>
  <c r="C2" i="38"/>
  <c r="C1" i="38" s="1"/>
  <c r="D3" i="42"/>
  <c r="C2" i="42"/>
  <c r="C1" i="42" s="1"/>
  <c r="D3" i="43"/>
  <c r="C2" i="43"/>
  <c r="C1" i="43" s="1"/>
  <c r="D3" i="36"/>
  <c r="C2" i="36"/>
  <c r="C1" i="36" s="1"/>
  <c r="D3" i="47"/>
  <c r="C2" i="47"/>
  <c r="C1" i="47" s="1"/>
  <c r="D3" i="41"/>
  <c r="C2" i="41"/>
  <c r="C1" i="41" s="1"/>
  <c r="D3" i="37"/>
  <c r="C2" i="37"/>
  <c r="C1" i="37" s="1"/>
  <c r="D3" i="40"/>
  <c r="C2" i="40"/>
  <c r="C1" i="40" s="1"/>
  <c r="C2" i="10"/>
  <c r="C1" i="10" s="1"/>
  <c r="C2" i="6"/>
  <c r="C1" i="6" s="1"/>
  <c r="C2" i="15"/>
  <c r="C1" i="15" s="1"/>
  <c r="C2" i="16"/>
  <c r="C1" i="16" s="1"/>
  <c r="C2" i="7"/>
  <c r="C1" i="7" s="1"/>
  <c r="C2" i="12"/>
  <c r="C1" i="12" s="1"/>
  <c r="C2" i="8"/>
  <c r="C1" i="8" s="1"/>
  <c r="C2" i="14"/>
  <c r="C1" i="14" s="1"/>
  <c r="C2" i="13"/>
  <c r="C1" i="13" s="1"/>
  <c r="C2" i="9"/>
  <c r="C1" i="9" s="1"/>
  <c r="C2" i="17"/>
  <c r="C1" i="17" s="1"/>
  <c r="C2" i="4"/>
  <c r="C1" i="4" s="1"/>
  <c r="C2" i="11"/>
  <c r="C1" i="11" s="1"/>
  <c r="C2" i="18"/>
  <c r="C1" i="18" s="1"/>
  <c r="M2" i="1"/>
  <c r="M1" i="1" s="1"/>
  <c r="K3" i="1"/>
  <c r="A35" i="57"/>
  <c r="A35" i="56"/>
  <c r="A35" i="55"/>
  <c r="A35" i="54"/>
  <c r="A35" i="53"/>
  <c r="A35" i="52"/>
  <c r="A35" i="51"/>
  <c r="A35" i="50"/>
  <c r="A35" i="49"/>
  <c r="A35" i="48"/>
  <c r="A35" i="47"/>
  <c r="A35" i="46"/>
  <c r="A35" i="45"/>
  <c r="A35" i="44"/>
  <c r="A35" i="43"/>
  <c r="A35" i="42"/>
  <c r="A35" i="41"/>
  <c r="A35" i="40"/>
  <c r="A35" i="39"/>
  <c r="A35" i="38"/>
  <c r="A35" i="37"/>
  <c r="A35" i="36"/>
  <c r="A35" i="35"/>
  <c r="A35" i="34"/>
  <c r="A35" i="33"/>
  <c r="A35" i="32"/>
  <c r="A35" i="31"/>
  <c r="A35" i="30"/>
  <c r="A35" i="29"/>
  <c r="A35" i="28"/>
  <c r="A35" i="27"/>
  <c r="A35" i="26"/>
  <c r="A35" i="25"/>
  <c r="A35" i="24"/>
  <c r="A35" i="23"/>
  <c r="A35" i="22"/>
  <c r="A35" i="21"/>
  <c r="A35" i="20"/>
  <c r="A35" i="19"/>
  <c r="A35" i="18"/>
  <c r="A35" i="17"/>
  <c r="A35" i="16"/>
  <c r="A35" i="15"/>
  <c r="A35" i="14"/>
  <c r="A35" i="13"/>
  <c r="A35" i="12"/>
  <c r="A35" i="11"/>
  <c r="A35" i="10"/>
  <c r="A35" i="9"/>
  <c r="A35" i="8"/>
  <c r="A35" i="7"/>
  <c r="A35" i="6"/>
  <c r="A35" i="4"/>
  <c r="A35" i="3"/>
  <c r="A35" i="1"/>
  <c r="E2" i="53" l="1"/>
  <c r="E1" i="53" s="1"/>
  <c r="G3" i="53"/>
  <c r="E2" i="35"/>
  <c r="E1" i="35" s="1"/>
  <c r="G3" i="35"/>
  <c r="K2" i="1"/>
  <c r="K1" i="1" s="1"/>
  <c r="I3" i="1"/>
  <c r="B35" i="1"/>
  <c r="S35" i="1" s="1"/>
  <c r="B35" i="3" s="1"/>
  <c r="S35" i="3" s="1"/>
  <c r="B35" i="4" s="1"/>
  <c r="S35" i="4" s="1"/>
  <c r="B35" i="6" s="1"/>
  <c r="S35" i="6" s="1"/>
  <c r="B35" i="7" s="1"/>
  <c r="S35" i="7" s="1"/>
  <c r="B35" i="8" s="1"/>
  <c r="S35" i="8" s="1"/>
  <c r="B35" i="9" s="1"/>
  <c r="S35" i="9" s="1"/>
  <c r="B35" i="10" s="1"/>
  <c r="S35" i="10" s="1"/>
  <c r="B35" i="11" s="1"/>
  <c r="S35" i="11" s="1"/>
  <c r="B35" i="12" s="1"/>
  <c r="S35" i="12" s="1"/>
  <c r="B35" i="13" s="1"/>
  <c r="S35" i="13" s="1"/>
  <c r="B35" i="14" s="1"/>
  <c r="S35" i="14" s="1"/>
  <c r="B35" i="15" s="1"/>
  <c r="S35" i="15" s="1"/>
  <c r="B35" i="16" s="1"/>
  <c r="S35" i="16" s="1"/>
  <c r="B35" i="17" s="1"/>
  <c r="S35" i="17" s="1"/>
  <c r="B35" i="18" s="1"/>
  <c r="S35" i="18" s="1"/>
  <c r="B35" i="19" s="1"/>
  <c r="S35" i="19" s="1"/>
  <c r="B35" i="20" s="1"/>
  <c r="S35" i="20" s="1"/>
  <c r="B35" i="21" s="1"/>
  <c r="S35" i="21" s="1"/>
  <c r="B35" i="22" s="1"/>
  <c r="S35" i="22" s="1"/>
  <c r="B35" i="23" s="1"/>
  <c r="S35" i="23" s="1"/>
  <c r="B35" i="24" s="1"/>
  <c r="S35" i="24" s="1"/>
  <c r="B35" i="25" s="1"/>
  <c r="S35" i="25" s="1"/>
  <c r="B35" i="26" s="1"/>
  <c r="S35" i="26" s="1"/>
  <c r="B35" i="27" s="1"/>
  <c r="S35" i="27" s="1"/>
  <c r="B35" i="28" s="1"/>
  <c r="S35" i="28" s="1"/>
  <c r="B35" i="29" s="1"/>
  <c r="S35" i="29" s="1"/>
  <c r="B35" i="30" s="1"/>
  <c r="S35" i="30" s="1"/>
  <c r="B35" i="31" s="1"/>
  <c r="S35" i="31" s="1"/>
  <c r="B35" i="32" s="1"/>
  <c r="S35" i="32" s="1"/>
  <c r="B35" i="33" s="1"/>
  <c r="S35" i="33" s="1"/>
  <c r="B35" i="34" s="1"/>
  <c r="S35" i="34" s="1"/>
  <c r="B35" i="35" s="1"/>
  <c r="S35" i="35" s="1"/>
  <c r="B35" i="36" s="1"/>
  <c r="S35" i="36" s="1"/>
  <c r="B35" i="37" s="1"/>
  <c r="S35" i="37" s="1"/>
  <c r="B35" i="38" s="1"/>
  <c r="S35" i="38" s="1"/>
  <c r="B35" i="39" s="1"/>
  <c r="S35" i="39" s="1"/>
  <c r="B35" i="40" s="1"/>
  <c r="S35" i="40" s="1"/>
  <c r="B35" i="41" s="1"/>
  <c r="S35" i="41" s="1"/>
  <c r="B35" i="42" s="1"/>
  <c r="S35" i="42" s="1"/>
  <c r="B35" i="43" s="1"/>
  <c r="S35" i="43" s="1"/>
  <c r="B35" i="44" s="1"/>
  <c r="S35" i="44" s="1"/>
  <c r="B35" i="45" s="1"/>
  <c r="S35" i="45" s="1"/>
  <c r="B35" i="46" s="1"/>
  <c r="S35" i="46" s="1"/>
  <c r="B35" i="47" s="1"/>
  <c r="S35" i="47" s="1"/>
  <c r="B35" i="48" s="1"/>
  <c r="S35" i="48" s="1"/>
  <c r="B35" i="49" s="1"/>
  <c r="S35" i="49" s="1"/>
  <c r="B35" i="50" s="1"/>
  <c r="S35" i="50" s="1"/>
  <c r="B35" i="51" s="1"/>
  <c r="S35" i="51" s="1"/>
  <c r="B35" i="52" s="1"/>
  <c r="S35" i="52" s="1"/>
  <c r="B35" i="53" s="1"/>
  <c r="S35" i="53" s="1"/>
  <c r="B35" i="54" s="1"/>
  <c r="S35" i="54" s="1"/>
  <c r="B35" i="55" s="1"/>
  <c r="S35" i="55" s="1"/>
  <c r="B35" i="56" s="1"/>
  <c r="S35" i="56" s="1"/>
  <c r="B35" i="57" s="1"/>
  <c r="S35" i="57" s="1"/>
  <c r="G2" i="35" l="1"/>
  <c r="G1" i="35" s="1"/>
  <c r="I3" i="35"/>
  <c r="I3" i="53"/>
  <c r="G2" i="53"/>
  <c r="G1" i="53" s="1"/>
  <c r="I2" i="1"/>
  <c r="I1" i="1" s="1"/>
  <c r="K3" i="53" l="1"/>
  <c r="I2" i="53"/>
  <c r="I1" i="53" s="1"/>
  <c r="I2" i="35"/>
  <c r="I1" i="35" s="1"/>
  <c r="K3" i="35"/>
  <c r="G2" i="1"/>
  <c r="G1" i="1" s="1"/>
  <c r="E3" i="1"/>
  <c r="K2" i="35" l="1"/>
  <c r="K1" i="35" s="1"/>
  <c r="M3" i="35"/>
  <c r="K2" i="53"/>
  <c r="K1" i="53" s="1"/>
  <c r="M3" i="53"/>
  <c r="E2" i="1"/>
  <c r="E1" i="1" s="1"/>
  <c r="C3" i="1"/>
  <c r="R106" i="5"/>
  <c r="Q108" i="5" s="1"/>
  <c r="Q109" i="5" s="1"/>
  <c r="Q110" i="5" s="1"/>
  <c r="Q111" i="5" s="1"/>
  <c r="Q112" i="5" s="1"/>
  <c r="Q113" i="5" s="1"/>
  <c r="Q114" i="5" s="1"/>
  <c r="Q115" i="5" s="1"/>
  <c r="Q116" i="5" s="1"/>
  <c r="Q117" i="5" s="1"/>
  <c r="Q118" i="5" s="1"/>
  <c r="Q119" i="5" s="1"/>
  <c r="Q120" i="5" s="1"/>
  <c r="Q121" i="5" s="1"/>
  <c r="Q122" i="5" s="1"/>
  <c r="Q123" i="5" s="1"/>
  <c r="Q124" i="5" s="1"/>
  <c r="Q125" i="5" s="1"/>
  <c r="Q126" i="5" s="1"/>
  <c r="Q127" i="5" s="1"/>
  <c r="Q128" i="5" s="1"/>
  <c r="Q129" i="5" s="1"/>
  <c r="Q130" i="5" s="1"/>
  <c r="Q131" i="5" s="1"/>
  <c r="Q132" i="5" s="1"/>
  <c r="Q133" i="5" s="1"/>
  <c r="Q134" i="5" s="1"/>
  <c r="Q135" i="5" s="1"/>
  <c r="Q136" i="5" s="1"/>
  <c r="Q137" i="5" s="1"/>
  <c r="Q138" i="5" s="1"/>
  <c r="J106" i="5"/>
  <c r="I108" i="5" s="1"/>
  <c r="I109" i="5" s="1"/>
  <c r="I110" i="5" s="1"/>
  <c r="I111" i="5" s="1"/>
  <c r="I112" i="5" s="1"/>
  <c r="I113" i="5" s="1"/>
  <c r="I114" i="5" s="1"/>
  <c r="I115" i="5" s="1"/>
  <c r="I116" i="5" s="1"/>
  <c r="I117" i="5" s="1"/>
  <c r="I118" i="5" s="1"/>
  <c r="I119" i="5" s="1"/>
  <c r="I120" i="5" s="1"/>
  <c r="I121" i="5" s="1"/>
  <c r="I122" i="5" s="1"/>
  <c r="I123" i="5" s="1"/>
  <c r="I124" i="5" s="1"/>
  <c r="I125" i="5" s="1"/>
  <c r="I126" i="5" s="1"/>
  <c r="I127" i="5" s="1"/>
  <c r="I128" i="5" s="1"/>
  <c r="I129" i="5" s="1"/>
  <c r="I130" i="5" s="1"/>
  <c r="I131" i="5" s="1"/>
  <c r="I132" i="5" s="1"/>
  <c r="I133" i="5" s="1"/>
  <c r="I134" i="5" s="1"/>
  <c r="I135" i="5" s="1"/>
  <c r="I136" i="5" s="1"/>
  <c r="B106" i="5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R71" i="5"/>
  <c r="Q73" i="5" s="1"/>
  <c r="Q74" i="5" s="1"/>
  <c r="Q75" i="5" s="1"/>
  <c r="Q76" i="5" s="1"/>
  <c r="Q77" i="5" s="1"/>
  <c r="Q78" i="5" s="1"/>
  <c r="Q79" i="5" s="1"/>
  <c r="Q80" i="5" s="1"/>
  <c r="Q81" i="5" s="1"/>
  <c r="Q82" i="5" s="1"/>
  <c r="Q83" i="5" s="1"/>
  <c r="Q84" i="5" s="1"/>
  <c r="Q85" i="5" s="1"/>
  <c r="Q86" i="5" s="1"/>
  <c r="Q87" i="5" s="1"/>
  <c r="Q88" i="5" s="1"/>
  <c r="Q89" i="5" s="1"/>
  <c r="Q90" i="5" s="1"/>
  <c r="Q91" i="5" s="1"/>
  <c r="Q92" i="5" s="1"/>
  <c r="Q93" i="5" s="1"/>
  <c r="Q94" i="5" s="1"/>
  <c r="Q95" i="5" s="1"/>
  <c r="Q96" i="5" s="1"/>
  <c r="Q97" i="5" s="1"/>
  <c r="Q98" i="5" s="1"/>
  <c r="Q99" i="5" s="1"/>
  <c r="Q100" i="5" s="1"/>
  <c r="Q101" i="5" s="1"/>
  <c r="Q102" i="5" s="1"/>
  <c r="Q103" i="5" s="1"/>
  <c r="J71" i="5"/>
  <c r="I73" i="5" s="1"/>
  <c r="I74" i="5" s="1"/>
  <c r="I75" i="5" s="1"/>
  <c r="I76" i="5" s="1"/>
  <c r="I77" i="5" s="1"/>
  <c r="I78" i="5" s="1"/>
  <c r="I79" i="5" s="1"/>
  <c r="I80" i="5" s="1"/>
  <c r="I81" i="5" s="1"/>
  <c r="I82" i="5" s="1"/>
  <c r="I83" i="5" s="1"/>
  <c r="I84" i="5" s="1"/>
  <c r="I85" i="5" s="1"/>
  <c r="I86" i="5" s="1"/>
  <c r="I87" i="5" s="1"/>
  <c r="I88" i="5" s="1"/>
  <c r="I89" i="5" s="1"/>
  <c r="I90" i="5" s="1"/>
  <c r="I91" i="5" s="1"/>
  <c r="I92" i="5" s="1"/>
  <c r="I93" i="5" s="1"/>
  <c r="I94" i="5" s="1"/>
  <c r="I95" i="5" s="1"/>
  <c r="I96" i="5" s="1"/>
  <c r="I97" i="5" s="1"/>
  <c r="I98" i="5" s="1"/>
  <c r="I99" i="5" s="1"/>
  <c r="I100" i="5" s="1"/>
  <c r="I101" i="5" s="1"/>
  <c r="I102" i="5" s="1"/>
  <c r="B71" i="5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R36" i="5"/>
  <c r="Q38" i="5" s="1"/>
  <c r="Q39" i="5" s="1"/>
  <c r="Q40" i="5" s="1"/>
  <c r="Q41" i="5" s="1"/>
  <c r="Q42" i="5" s="1"/>
  <c r="Q43" i="5" s="1"/>
  <c r="Q44" i="5" s="1"/>
  <c r="Q45" i="5" s="1"/>
  <c r="Q46" i="5" s="1"/>
  <c r="Q47" i="5" s="1"/>
  <c r="Q48" i="5" s="1"/>
  <c r="Q49" i="5" s="1"/>
  <c r="Q50" i="5" s="1"/>
  <c r="Q51" i="5" s="1"/>
  <c r="Q52" i="5" s="1"/>
  <c r="Q53" i="5" s="1"/>
  <c r="Q54" i="5" s="1"/>
  <c r="Q55" i="5" s="1"/>
  <c r="Q56" i="5" s="1"/>
  <c r="Q57" i="5" s="1"/>
  <c r="Q58" i="5" s="1"/>
  <c r="Q59" i="5" s="1"/>
  <c r="Q60" i="5" s="1"/>
  <c r="Q61" i="5" s="1"/>
  <c r="Q62" i="5" s="1"/>
  <c r="Q63" i="5" s="1"/>
  <c r="Q64" i="5" s="1"/>
  <c r="Q65" i="5" s="1"/>
  <c r="Q66" i="5" s="1"/>
  <c r="Q67" i="5" s="1"/>
  <c r="Q68" i="5" s="1"/>
  <c r="T68" i="5" s="1"/>
  <c r="J36" i="5"/>
  <c r="I38" i="5" s="1"/>
  <c r="I39" i="5" s="1"/>
  <c r="I40" i="5" s="1"/>
  <c r="I41" i="5" s="1"/>
  <c r="I42" i="5" s="1"/>
  <c r="I43" i="5" s="1"/>
  <c r="I44" i="5" s="1"/>
  <c r="I45" i="5" s="1"/>
  <c r="I46" i="5" s="1"/>
  <c r="I47" i="5" s="1"/>
  <c r="I48" i="5" s="1"/>
  <c r="I49" i="5" s="1"/>
  <c r="I50" i="5" s="1"/>
  <c r="I51" i="5" s="1"/>
  <c r="I52" i="5" s="1"/>
  <c r="I53" i="5" s="1"/>
  <c r="I54" i="5" s="1"/>
  <c r="I55" i="5" s="1"/>
  <c r="I56" i="5" s="1"/>
  <c r="I57" i="5" s="1"/>
  <c r="I58" i="5" s="1"/>
  <c r="I59" i="5" s="1"/>
  <c r="I60" i="5" s="1"/>
  <c r="I61" i="5" s="1"/>
  <c r="I62" i="5" s="1"/>
  <c r="I63" i="5" s="1"/>
  <c r="I64" i="5" s="1"/>
  <c r="I65" i="5" s="1"/>
  <c r="I66" i="5" s="1"/>
  <c r="I67" i="5" s="1"/>
  <c r="I68" i="5" s="1"/>
  <c r="B36" i="5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D68" i="5" s="1"/>
  <c r="O3" i="53" l="1"/>
  <c r="M2" i="53"/>
  <c r="M1" i="53" s="1"/>
  <c r="M2" i="35"/>
  <c r="M1" i="35" s="1"/>
  <c r="O3" i="35"/>
  <c r="C2" i="1"/>
  <c r="C1" i="1" s="1"/>
  <c r="I103" i="5"/>
  <c r="I137" i="5"/>
  <c r="S73" i="5"/>
  <c r="K73" i="5"/>
  <c r="C38" i="5"/>
  <c r="O2" i="35" l="1"/>
  <c r="O1" i="35" s="1"/>
  <c r="O2" i="53"/>
  <c r="O1" i="53" s="1"/>
  <c r="I138" i="5"/>
  <c r="L138" i="5" s="1"/>
  <c r="B39" i="5"/>
  <c r="B108" i="5"/>
  <c r="C108" i="5"/>
  <c r="K108" i="5"/>
  <c r="J108" i="5"/>
  <c r="R108" i="5"/>
  <c r="S108" i="5"/>
  <c r="C73" i="5"/>
  <c r="B73" i="5"/>
  <c r="R73" i="5"/>
  <c r="J73" i="5"/>
  <c r="J38" i="5"/>
  <c r="K38" i="5"/>
  <c r="R38" i="5"/>
  <c r="S38" i="5"/>
  <c r="B38" i="5"/>
  <c r="O112" i="5" l="1"/>
  <c r="O111" i="5"/>
  <c r="O109" i="5"/>
  <c r="O110" i="5"/>
  <c r="O107" i="5"/>
  <c r="C39" i="5"/>
  <c r="B40" i="5"/>
  <c r="B74" i="5"/>
  <c r="C74" i="5"/>
  <c r="R39" i="5"/>
  <c r="S39" i="5"/>
  <c r="K39" i="5"/>
  <c r="J39" i="5"/>
  <c r="I3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R30" i="3"/>
  <c r="T30" i="3" s="1"/>
  <c r="Q30" i="3"/>
  <c r="U30" i="3" s="1"/>
  <c r="A30" i="3"/>
  <c r="R28" i="3"/>
  <c r="T28" i="3" s="1"/>
  <c r="Q28" i="3"/>
  <c r="U28" i="3" s="1"/>
  <c r="A28" i="3"/>
  <c r="R27" i="3"/>
  <c r="T27" i="3" s="1"/>
  <c r="Q27" i="3"/>
  <c r="U27" i="3" s="1"/>
  <c r="A27" i="3"/>
  <c r="R26" i="3"/>
  <c r="T26" i="3" s="1"/>
  <c r="Q26" i="3"/>
  <c r="U26" i="3" s="1"/>
  <c r="A26" i="3"/>
  <c r="R24" i="3"/>
  <c r="T24" i="3" s="1"/>
  <c r="Q24" i="3"/>
  <c r="U24" i="3" s="1"/>
  <c r="A24" i="3"/>
  <c r="R23" i="3"/>
  <c r="T23" i="3" s="1"/>
  <c r="Q23" i="3"/>
  <c r="U23" i="3" s="1"/>
  <c r="A23" i="3"/>
  <c r="R22" i="3"/>
  <c r="T22" i="3" s="1"/>
  <c r="Q22" i="3"/>
  <c r="U22" i="3" s="1"/>
  <c r="A22" i="3"/>
  <c r="R20" i="3"/>
  <c r="T20" i="3" s="1"/>
  <c r="Q20" i="3"/>
  <c r="U20" i="3" s="1"/>
  <c r="A20" i="3"/>
  <c r="P18" i="3"/>
  <c r="P33" i="3" s="1"/>
  <c r="O18" i="3"/>
  <c r="O33" i="3" s="1"/>
  <c r="N18" i="3"/>
  <c r="N33" i="3" s="1"/>
  <c r="M18" i="3"/>
  <c r="M33" i="3" s="1"/>
  <c r="L18" i="3"/>
  <c r="L33" i="3" s="1"/>
  <c r="K18" i="3"/>
  <c r="K33" i="3" s="1"/>
  <c r="J18" i="3"/>
  <c r="J33" i="3" s="1"/>
  <c r="I18" i="3"/>
  <c r="I33" i="3" s="1"/>
  <c r="H18" i="3"/>
  <c r="H33" i="3" s="1"/>
  <c r="G18" i="3"/>
  <c r="G33" i="3" s="1"/>
  <c r="F18" i="3"/>
  <c r="F33" i="3" s="1"/>
  <c r="E18" i="3"/>
  <c r="E33" i="3" s="1"/>
  <c r="D18" i="3"/>
  <c r="D33" i="3" s="1"/>
  <c r="C18" i="3"/>
  <c r="C33" i="3" s="1"/>
  <c r="R17" i="3"/>
  <c r="T17" i="3" s="1"/>
  <c r="Q17" i="3"/>
  <c r="U17" i="3" s="1"/>
  <c r="A17" i="3"/>
  <c r="R15" i="3"/>
  <c r="T15" i="3" s="1"/>
  <c r="Q15" i="3"/>
  <c r="U15" i="3" s="1"/>
  <c r="A15" i="3"/>
  <c r="R14" i="3"/>
  <c r="T14" i="3" s="1"/>
  <c r="Q14" i="3"/>
  <c r="U14" i="3" s="1"/>
  <c r="A14" i="3"/>
  <c r="R12" i="3"/>
  <c r="T12" i="3" s="1"/>
  <c r="Q12" i="3"/>
  <c r="U12" i="3" s="1"/>
  <c r="A12" i="3"/>
  <c r="R11" i="3"/>
  <c r="T11" i="3" s="1"/>
  <c r="Q11" i="3"/>
  <c r="U11" i="3" s="1"/>
  <c r="A11" i="3"/>
  <c r="R10" i="3"/>
  <c r="Q10" i="3"/>
  <c r="U10" i="3" s="1"/>
  <c r="A10" i="3"/>
  <c r="R9" i="3"/>
  <c r="T9" i="3" s="1"/>
  <c r="Q9" i="3"/>
  <c r="U9" i="3" s="1"/>
  <c r="A9" i="3"/>
  <c r="R7" i="3"/>
  <c r="T7" i="3" s="1"/>
  <c r="Q7" i="3"/>
  <c r="U7" i="3" s="1"/>
  <c r="A7" i="3"/>
  <c r="R6" i="3"/>
  <c r="T6" i="3" s="1"/>
  <c r="Q6" i="3"/>
  <c r="U6" i="3" s="1"/>
  <c r="A6" i="3"/>
  <c r="R5" i="3"/>
  <c r="Q5" i="3"/>
  <c r="U5" i="3" s="1"/>
  <c r="A5" i="3"/>
  <c r="J3" i="3" l="1"/>
  <c r="I2" i="3"/>
  <c r="I1" i="3" s="1"/>
  <c r="D7" i="5"/>
  <c r="D12" i="5"/>
  <c r="D6" i="5"/>
  <c r="D11" i="5"/>
  <c r="C41" i="5"/>
  <c r="C40" i="5"/>
  <c r="D8" i="5"/>
  <c r="D9" i="5"/>
  <c r="D10" i="5"/>
  <c r="C75" i="5"/>
  <c r="B75" i="5"/>
  <c r="K40" i="5"/>
  <c r="J40" i="5"/>
  <c r="S40" i="5"/>
  <c r="R40" i="5"/>
  <c r="R18" i="3"/>
  <c r="R33" i="3" s="1"/>
  <c r="R36" i="3" s="1"/>
  <c r="T31" i="3"/>
  <c r="O3" i="3"/>
  <c r="M3" i="3"/>
  <c r="E3" i="3"/>
  <c r="Q31" i="3"/>
  <c r="T10" i="3"/>
  <c r="R31" i="3"/>
  <c r="K3" i="3"/>
  <c r="D3" i="3"/>
  <c r="T5" i="3"/>
  <c r="Q18" i="3"/>
  <c r="Q33" i="3" s="1"/>
  <c r="Q36" i="3" s="1"/>
  <c r="G3" i="3"/>
  <c r="F3" i="3" l="1"/>
  <c r="E2" i="3"/>
  <c r="E1" i="3" s="1"/>
  <c r="H3" i="3"/>
  <c r="G2" i="3"/>
  <c r="G1" i="3" s="1"/>
  <c r="P3" i="3"/>
  <c r="O2" i="3"/>
  <c r="O1" i="3" s="1"/>
  <c r="N3" i="3"/>
  <c r="M2" i="3"/>
  <c r="M1" i="3" s="1"/>
  <c r="L3" i="3"/>
  <c r="K2" i="3"/>
  <c r="K1" i="3" s="1"/>
  <c r="B41" i="5"/>
  <c r="C76" i="5"/>
  <c r="B76" i="5"/>
  <c r="S41" i="5"/>
  <c r="R41" i="5"/>
  <c r="B42" i="5"/>
  <c r="K41" i="5"/>
  <c r="J41" i="5"/>
  <c r="T18" i="3"/>
  <c r="T33" i="3" s="1"/>
  <c r="B1" i="5"/>
  <c r="R1" i="5" s="1"/>
  <c r="Q3" i="5" s="1"/>
  <c r="A9" i="50"/>
  <c r="A10" i="50"/>
  <c r="A11" i="50"/>
  <c r="A12" i="50"/>
  <c r="C42" i="5" l="1"/>
  <c r="C77" i="5"/>
  <c r="B77" i="5"/>
  <c r="K42" i="5"/>
  <c r="J42" i="5"/>
  <c r="C43" i="5"/>
  <c r="B43" i="5"/>
  <c r="S42" i="5"/>
  <c r="R42" i="5"/>
  <c r="R3" i="5"/>
  <c r="Q4" i="5"/>
  <c r="S3" i="5"/>
  <c r="J1" i="5"/>
  <c r="I3" i="5" s="1"/>
  <c r="A3" i="5"/>
  <c r="C109" i="5" l="1"/>
  <c r="B109" i="5"/>
  <c r="R74" i="5"/>
  <c r="S74" i="5"/>
  <c r="R109" i="5"/>
  <c r="S109" i="5"/>
  <c r="B78" i="5"/>
  <c r="C78" i="5"/>
  <c r="S43" i="5"/>
  <c r="R43" i="5"/>
  <c r="C44" i="5"/>
  <c r="B44" i="5"/>
  <c r="K43" i="5"/>
  <c r="J43" i="5"/>
  <c r="R4" i="5"/>
  <c r="S4" i="5"/>
  <c r="Q5" i="5"/>
  <c r="K3" i="5"/>
  <c r="J3" i="5"/>
  <c r="I4" i="5"/>
  <c r="C3" i="5"/>
  <c r="B3" i="5"/>
  <c r="A4" i="5"/>
  <c r="O3" i="7"/>
  <c r="O3" i="6"/>
  <c r="I3" i="4"/>
  <c r="P31" i="57"/>
  <c r="O31" i="57"/>
  <c r="N31" i="57"/>
  <c r="M31" i="57"/>
  <c r="L31" i="57"/>
  <c r="K31" i="57"/>
  <c r="J31" i="57"/>
  <c r="I31" i="57"/>
  <c r="H31" i="57"/>
  <c r="G31" i="57"/>
  <c r="F31" i="57"/>
  <c r="E31" i="57"/>
  <c r="D31" i="57"/>
  <c r="C31" i="57"/>
  <c r="T30" i="57"/>
  <c r="R30" i="57"/>
  <c r="Q30" i="57"/>
  <c r="W30" i="57" s="1"/>
  <c r="A30" i="57"/>
  <c r="W28" i="57"/>
  <c r="R28" i="57"/>
  <c r="T28" i="57" s="1"/>
  <c r="Q28" i="57"/>
  <c r="A28" i="57"/>
  <c r="R27" i="57"/>
  <c r="T27" i="57" s="1"/>
  <c r="Q27" i="57"/>
  <c r="W27" i="57" s="1"/>
  <c r="A27" i="57"/>
  <c r="R26" i="57"/>
  <c r="T26" i="57" s="1"/>
  <c r="Q26" i="57"/>
  <c r="W26" i="57" s="1"/>
  <c r="A26" i="57"/>
  <c r="T24" i="57"/>
  <c r="R24" i="57"/>
  <c r="Q24" i="57"/>
  <c r="W24" i="57" s="1"/>
  <c r="A24" i="57"/>
  <c r="W23" i="57"/>
  <c r="R23" i="57"/>
  <c r="T23" i="57" s="1"/>
  <c r="Q23" i="57"/>
  <c r="A23" i="57"/>
  <c r="R22" i="57"/>
  <c r="T22" i="57" s="1"/>
  <c r="Q22" i="57"/>
  <c r="W22" i="57" s="1"/>
  <c r="A22" i="57"/>
  <c r="R20" i="57"/>
  <c r="T20" i="57" s="1"/>
  <c r="Q20" i="57"/>
  <c r="W20" i="57" s="1"/>
  <c r="A20" i="57"/>
  <c r="P18" i="57"/>
  <c r="P33" i="57" s="1"/>
  <c r="O18" i="57"/>
  <c r="O33" i="57" s="1"/>
  <c r="N18" i="57"/>
  <c r="N33" i="57" s="1"/>
  <c r="M18" i="57"/>
  <c r="M33" i="57" s="1"/>
  <c r="L18" i="57"/>
  <c r="L33" i="57" s="1"/>
  <c r="K18" i="57"/>
  <c r="K33" i="57" s="1"/>
  <c r="J18" i="57"/>
  <c r="J33" i="57" s="1"/>
  <c r="I18" i="57"/>
  <c r="I33" i="57" s="1"/>
  <c r="H18" i="57"/>
  <c r="H33" i="57" s="1"/>
  <c r="G18" i="57"/>
  <c r="G33" i="57" s="1"/>
  <c r="F18" i="57"/>
  <c r="F33" i="57" s="1"/>
  <c r="E18" i="57"/>
  <c r="E33" i="57" s="1"/>
  <c r="D18" i="57"/>
  <c r="D33" i="57" s="1"/>
  <c r="C18" i="57"/>
  <c r="C33" i="57" s="1"/>
  <c r="R17" i="57"/>
  <c r="T17" i="57" s="1"/>
  <c r="Q17" i="57"/>
  <c r="W17" i="57" s="1"/>
  <c r="A17" i="57"/>
  <c r="R15" i="57"/>
  <c r="T15" i="57" s="1"/>
  <c r="Q15" i="57"/>
  <c r="W15" i="57" s="1"/>
  <c r="A15" i="57"/>
  <c r="R14" i="57"/>
  <c r="T14" i="57" s="1"/>
  <c r="Q14" i="57"/>
  <c r="W14" i="57" s="1"/>
  <c r="A14" i="57"/>
  <c r="T12" i="57"/>
  <c r="R12" i="57"/>
  <c r="Q12" i="57"/>
  <c r="W12" i="57" s="1"/>
  <c r="A12" i="57"/>
  <c r="W11" i="57"/>
  <c r="R11" i="57"/>
  <c r="T11" i="57" s="1"/>
  <c r="Q11" i="57"/>
  <c r="A11" i="57"/>
  <c r="R10" i="57"/>
  <c r="T10" i="57" s="1"/>
  <c r="Q10" i="57"/>
  <c r="W10" i="57" s="1"/>
  <c r="A10" i="57"/>
  <c r="R9" i="57"/>
  <c r="T9" i="57" s="1"/>
  <c r="Q9" i="57"/>
  <c r="W9" i="57" s="1"/>
  <c r="A9" i="57"/>
  <c r="R7" i="57"/>
  <c r="T7" i="57" s="1"/>
  <c r="Q7" i="57"/>
  <c r="W7" i="57" s="1"/>
  <c r="A7" i="57"/>
  <c r="R6" i="57"/>
  <c r="T6" i="57" s="1"/>
  <c r="Q6" i="57"/>
  <c r="W6" i="57" s="1"/>
  <c r="A6" i="57"/>
  <c r="R5" i="57"/>
  <c r="Q5" i="57"/>
  <c r="W5" i="57" s="1"/>
  <c r="A5" i="57"/>
  <c r="I3" i="57"/>
  <c r="O3" i="57"/>
  <c r="P31" i="56"/>
  <c r="O31" i="56"/>
  <c r="N31" i="56"/>
  <c r="M31" i="56"/>
  <c r="L31" i="56"/>
  <c r="K31" i="56"/>
  <c r="J31" i="56"/>
  <c r="I31" i="56"/>
  <c r="H31" i="56"/>
  <c r="G31" i="56"/>
  <c r="F31" i="56"/>
  <c r="E31" i="56"/>
  <c r="D31" i="56"/>
  <c r="C31" i="56"/>
  <c r="W30" i="56"/>
  <c r="R30" i="56"/>
  <c r="T30" i="56" s="1"/>
  <c r="Q30" i="56"/>
  <c r="A30" i="56"/>
  <c r="T28" i="56"/>
  <c r="R28" i="56"/>
  <c r="Q28" i="56"/>
  <c r="W28" i="56" s="1"/>
  <c r="A28" i="56"/>
  <c r="W27" i="56"/>
  <c r="R27" i="56"/>
  <c r="Q27" i="56"/>
  <c r="A27" i="56"/>
  <c r="R26" i="56"/>
  <c r="T26" i="56" s="1"/>
  <c r="Q26" i="56"/>
  <c r="W26" i="56" s="1"/>
  <c r="A26" i="56"/>
  <c r="R24" i="56"/>
  <c r="T24" i="56" s="1"/>
  <c r="Q24" i="56"/>
  <c r="A24" i="56"/>
  <c r="R23" i="56"/>
  <c r="T23" i="56" s="1"/>
  <c r="Q23" i="56"/>
  <c r="W23" i="56" s="1"/>
  <c r="A23" i="56"/>
  <c r="R22" i="56"/>
  <c r="T22" i="56" s="1"/>
  <c r="Q22" i="56"/>
  <c r="W22" i="56" s="1"/>
  <c r="A22" i="56"/>
  <c r="R20" i="56"/>
  <c r="T20" i="56" s="1"/>
  <c r="Q20" i="56"/>
  <c r="W20" i="56" s="1"/>
  <c r="A20" i="56"/>
  <c r="P18" i="56"/>
  <c r="P33" i="56" s="1"/>
  <c r="O18" i="56"/>
  <c r="O33" i="56" s="1"/>
  <c r="N18" i="56"/>
  <c r="N33" i="56" s="1"/>
  <c r="M18" i="56"/>
  <c r="M33" i="56" s="1"/>
  <c r="L18" i="56"/>
  <c r="L33" i="56" s="1"/>
  <c r="K18" i="56"/>
  <c r="K33" i="56" s="1"/>
  <c r="J18" i="56"/>
  <c r="J33" i="56" s="1"/>
  <c r="I18" i="56"/>
  <c r="I33" i="56" s="1"/>
  <c r="H18" i="56"/>
  <c r="H33" i="56" s="1"/>
  <c r="G18" i="56"/>
  <c r="G33" i="56" s="1"/>
  <c r="F18" i="56"/>
  <c r="F33" i="56" s="1"/>
  <c r="E18" i="56"/>
  <c r="E33" i="56" s="1"/>
  <c r="D18" i="56"/>
  <c r="D33" i="56" s="1"/>
  <c r="C18" i="56"/>
  <c r="C33" i="56" s="1"/>
  <c r="R17" i="56"/>
  <c r="T17" i="56" s="1"/>
  <c r="Q17" i="56"/>
  <c r="W17" i="56" s="1"/>
  <c r="A17" i="56"/>
  <c r="R15" i="56"/>
  <c r="T15" i="56" s="1"/>
  <c r="Q15" i="56"/>
  <c r="W15" i="56" s="1"/>
  <c r="A15" i="56"/>
  <c r="R14" i="56"/>
  <c r="T14" i="56" s="1"/>
  <c r="Q14" i="56"/>
  <c r="W14" i="56" s="1"/>
  <c r="A14" i="56"/>
  <c r="T12" i="56"/>
  <c r="R12" i="56"/>
  <c r="Q12" i="56"/>
  <c r="W12" i="56" s="1"/>
  <c r="A12" i="56"/>
  <c r="R11" i="56"/>
  <c r="T11" i="56" s="1"/>
  <c r="Q11" i="56"/>
  <c r="W11" i="56" s="1"/>
  <c r="A11" i="56"/>
  <c r="R10" i="56"/>
  <c r="Q10" i="56"/>
  <c r="W10" i="56" s="1"/>
  <c r="A10" i="56"/>
  <c r="R9" i="56"/>
  <c r="T9" i="56" s="1"/>
  <c r="Q9" i="56"/>
  <c r="W9" i="56" s="1"/>
  <c r="A9" i="56"/>
  <c r="R7" i="56"/>
  <c r="T7" i="56" s="1"/>
  <c r="Q7" i="56"/>
  <c r="W7" i="56" s="1"/>
  <c r="A7" i="56"/>
  <c r="R6" i="56"/>
  <c r="T6" i="56" s="1"/>
  <c r="Q6" i="56"/>
  <c r="W6" i="56" s="1"/>
  <c r="A6" i="56"/>
  <c r="R5" i="56"/>
  <c r="Q5" i="56"/>
  <c r="W5" i="56" s="1"/>
  <c r="A5" i="56"/>
  <c r="I3" i="56"/>
  <c r="O3" i="56"/>
  <c r="P31" i="55"/>
  <c r="O31" i="55"/>
  <c r="N31" i="55"/>
  <c r="M31" i="55"/>
  <c r="L31" i="55"/>
  <c r="K31" i="55"/>
  <c r="J31" i="55"/>
  <c r="I31" i="55"/>
  <c r="H31" i="55"/>
  <c r="G31" i="55"/>
  <c r="F31" i="55"/>
  <c r="E31" i="55"/>
  <c r="D31" i="55"/>
  <c r="C31" i="55"/>
  <c r="T30" i="55"/>
  <c r="R30" i="55"/>
  <c r="Q30" i="55"/>
  <c r="W30" i="55" s="1"/>
  <c r="A30" i="55"/>
  <c r="W28" i="55"/>
  <c r="R28" i="55"/>
  <c r="T28" i="55" s="1"/>
  <c r="Q28" i="55"/>
  <c r="A28" i="55"/>
  <c r="R27" i="55"/>
  <c r="T27" i="55" s="1"/>
  <c r="Q27" i="55"/>
  <c r="W27" i="55" s="1"/>
  <c r="A27" i="55"/>
  <c r="R26" i="55"/>
  <c r="T26" i="55" s="1"/>
  <c r="Q26" i="55"/>
  <c r="W26" i="55" s="1"/>
  <c r="A26" i="55"/>
  <c r="T24" i="55"/>
  <c r="R24" i="55"/>
  <c r="Q24" i="55"/>
  <c r="W24" i="55" s="1"/>
  <c r="A24" i="55"/>
  <c r="W23" i="55"/>
  <c r="R23" i="55"/>
  <c r="T23" i="55" s="1"/>
  <c r="Q23" i="55"/>
  <c r="A23" i="55"/>
  <c r="R22" i="55"/>
  <c r="T22" i="55" s="1"/>
  <c r="Q22" i="55"/>
  <c r="W22" i="55" s="1"/>
  <c r="A22" i="55"/>
  <c r="W20" i="55"/>
  <c r="R20" i="55"/>
  <c r="T20" i="55" s="1"/>
  <c r="Q20" i="55"/>
  <c r="A20" i="55"/>
  <c r="P18" i="55"/>
  <c r="P33" i="55" s="1"/>
  <c r="O18" i="55"/>
  <c r="O33" i="55" s="1"/>
  <c r="N18" i="55"/>
  <c r="N33" i="55" s="1"/>
  <c r="M18" i="55"/>
  <c r="M33" i="55" s="1"/>
  <c r="L18" i="55"/>
  <c r="L33" i="55" s="1"/>
  <c r="T138" i="5" s="1"/>
  <c r="K18" i="55"/>
  <c r="K33" i="55" s="1"/>
  <c r="J18" i="55"/>
  <c r="J33" i="55" s="1"/>
  <c r="T137" i="5" s="1"/>
  <c r="I18" i="55"/>
  <c r="I33" i="55" s="1"/>
  <c r="H18" i="55"/>
  <c r="H33" i="55" s="1"/>
  <c r="T136" i="5" s="1"/>
  <c r="G18" i="55"/>
  <c r="G33" i="55" s="1"/>
  <c r="F18" i="55"/>
  <c r="F33" i="55" s="1"/>
  <c r="T135" i="5" s="1"/>
  <c r="E18" i="55"/>
  <c r="E33" i="55" s="1"/>
  <c r="D18" i="55"/>
  <c r="D33" i="55" s="1"/>
  <c r="T134" i="5" s="1"/>
  <c r="C18" i="55"/>
  <c r="C33" i="55" s="1"/>
  <c r="R17" i="55"/>
  <c r="T17" i="55" s="1"/>
  <c r="Q17" i="55"/>
  <c r="W17" i="55" s="1"/>
  <c r="A17" i="55"/>
  <c r="R15" i="55"/>
  <c r="T15" i="55" s="1"/>
  <c r="Q15" i="55"/>
  <c r="W15" i="55" s="1"/>
  <c r="A15" i="55"/>
  <c r="W14" i="55"/>
  <c r="R14" i="55"/>
  <c r="T14" i="55" s="1"/>
  <c r="Q14" i="55"/>
  <c r="A14" i="55"/>
  <c r="T12" i="55"/>
  <c r="R12" i="55"/>
  <c r="Q12" i="55"/>
  <c r="W12" i="55" s="1"/>
  <c r="A12" i="55"/>
  <c r="W11" i="55"/>
  <c r="R11" i="55"/>
  <c r="T11" i="55" s="1"/>
  <c r="Q11" i="55"/>
  <c r="A11" i="55"/>
  <c r="R10" i="55"/>
  <c r="T10" i="55" s="1"/>
  <c r="Q10" i="55"/>
  <c r="W10" i="55" s="1"/>
  <c r="A10" i="55"/>
  <c r="R9" i="55"/>
  <c r="T9" i="55" s="1"/>
  <c r="Q9" i="55"/>
  <c r="W9" i="55" s="1"/>
  <c r="A9" i="55"/>
  <c r="T7" i="55"/>
  <c r="R7" i="55"/>
  <c r="Q7" i="55"/>
  <c r="W7" i="55" s="1"/>
  <c r="A7" i="55"/>
  <c r="R6" i="55"/>
  <c r="T6" i="55" s="1"/>
  <c r="Q6" i="55"/>
  <c r="W6" i="55" s="1"/>
  <c r="A6" i="55"/>
  <c r="R5" i="55"/>
  <c r="Q5" i="55"/>
  <c r="W5" i="55" s="1"/>
  <c r="A5" i="55"/>
  <c r="O3" i="55"/>
  <c r="P31" i="54"/>
  <c r="O31" i="54"/>
  <c r="N31" i="54"/>
  <c r="M31" i="54"/>
  <c r="L31" i="54"/>
  <c r="K31" i="54"/>
  <c r="J31" i="54"/>
  <c r="I31" i="54"/>
  <c r="H31" i="54"/>
  <c r="G31" i="54"/>
  <c r="F31" i="54"/>
  <c r="E31" i="54"/>
  <c r="D31" i="54"/>
  <c r="C31" i="54"/>
  <c r="R30" i="54"/>
  <c r="T30" i="54" s="1"/>
  <c r="Q30" i="54"/>
  <c r="W30" i="54" s="1"/>
  <c r="A30" i="54"/>
  <c r="T28" i="54"/>
  <c r="R28" i="54"/>
  <c r="Q28" i="54"/>
  <c r="W28" i="54" s="1"/>
  <c r="A28" i="54"/>
  <c r="R27" i="54"/>
  <c r="T27" i="54" s="1"/>
  <c r="Q27" i="54"/>
  <c r="W27" i="54" s="1"/>
  <c r="A27" i="54"/>
  <c r="T26" i="54"/>
  <c r="R26" i="54"/>
  <c r="Q26" i="54"/>
  <c r="W26" i="54" s="1"/>
  <c r="A26" i="54"/>
  <c r="R24" i="54"/>
  <c r="T24" i="54" s="1"/>
  <c r="Q24" i="54"/>
  <c r="W24" i="54" s="1"/>
  <c r="A24" i="54"/>
  <c r="T23" i="54"/>
  <c r="R23" i="54"/>
  <c r="Q23" i="54"/>
  <c r="W23" i="54" s="1"/>
  <c r="A23" i="54"/>
  <c r="R22" i="54"/>
  <c r="T22" i="54" s="1"/>
  <c r="Q22" i="54"/>
  <c r="W22" i="54" s="1"/>
  <c r="A22" i="54"/>
  <c r="R20" i="54"/>
  <c r="T20" i="54" s="1"/>
  <c r="Q20" i="54"/>
  <c r="W20" i="54" s="1"/>
  <c r="A20" i="54"/>
  <c r="P18" i="54"/>
  <c r="P33" i="54" s="1"/>
  <c r="T133" i="5" s="1"/>
  <c r="O18" i="54"/>
  <c r="O33" i="54" s="1"/>
  <c r="N18" i="54"/>
  <c r="N33" i="54" s="1"/>
  <c r="T132" i="5" s="1"/>
  <c r="M18" i="54"/>
  <c r="M33" i="54" s="1"/>
  <c r="L18" i="54"/>
  <c r="L33" i="54" s="1"/>
  <c r="T131" i="5" s="1"/>
  <c r="K18" i="54"/>
  <c r="K33" i="54" s="1"/>
  <c r="J18" i="54"/>
  <c r="J33" i="54" s="1"/>
  <c r="T130" i="5" s="1"/>
  <c r="I18" i="54"/>
  <c r="I33" i="54" s="1"/>
  <c r="H18" i="54"/>
  <c r="H33" i="54" s="1"/>
  <c r="T129" i="5" s="1"/>
  <c r="G18" i="54"/>
  <c r="G33" i="54" s="1"/>
  <c r="F18" i="54"/>
  <c r="F33" i="54" s="1"/>
  <c r="T128" i="5" s="1"/>
  <c r="E18" i="54"/>
  <c r="E33" i="54" s="1"/>
  <c r="D18" i="54"/>
  <c r="D33" i="54" s="1"/>
  <c r="T127" i="5" s="1"/>
  <c r="C18" i="54"/>
  <c r="C33" i="54" s="1"/>
  <c r="R17" i="54"/>
  <c r="T17" i="54" s="1"/>
  <c r="Q17" i="54"/>
  <c r="W17" i="54" s="1"/>
  <c r="A17" i="54"/>
  <c r="R15" i="54"/>
  <c r="T15" i="54" s="1"/>
  <c r="Q15" i="54"/>
  <c r="W15" i="54" s="1"/>
  <c r="A15" i="54"/>
  <c r="R14" i="54"/>
  <c r="T14" i="54" s="1"/>
  <c r="Q14" i="54"/>
  <c r="W14" i="54" s="1"/>
  <c r="A14" i="54"/>
  <c r="R12" i="54"/>
  <c r="T12" i="54" s="1"/>
  <c r="Q12" i="54"/>
  <c r="W12" i="54" s="1"/>
  <c r="A12" i="54"/>
  <c r="R11" i="54"/>
  <c r="T11" i="54" s="1"/>
  <c r="Q11" i="54"/>
  <c r="W11" i="54" s="1"/>
  <c r="A11" i="54"/>
  <c r="W10" i="54"/>
  <c r="R10" i="54"/>
  <c r="T10" i="54" s="1"/>
  <c r="Q10" i="54"/>
  <c r="A10" i="54"/>
  <c r="R9" i="54"/>
  <c r="T9" i="54" s="1"/>
  <c r="Q9" i="54"/>
  <c r="W9" i="54" s="1"/>
  <c r="A9" i="54"/>
  <c r="R7" i="54"/>
  <c r="T7" i="54" s="1"/>
  <c r="Q7" i="54"/>
  <c r="W7" i="54" s="1"/>
  <c r="A7" i="54"/>
  <c r="T6" i="54"/>
  <c r="R6" i="54"/>
  <c r="Q6" i="54"/>
  <c r="W6" i="54" s="1"/>
  <c r="A6" i="54"/>
  <c r="R5" i="54"/>
  <c r="Q5" i="54"/>
  <c r="W5" i="54" s="1"/>
  <c r="A5" i="54"/>
  <c r="M3" i="54"/>
  <c r="E3" i="54"/>
  <c r="O3" i="54"/>
  <c r="P31" i="53"/>
  <c r="O31" i="53"/>
  <c r="N31" i="53"/>
  <c r="M31" i="53"/>
  <c r="L31" i="53"/>
  <c r="K31" i="53"/>
  <c r="J31" i="53"/>
  <c r="I31" i="53"/>
  <c r="H31" i="53"/>
  <c r="G31" i="53"/>
  <c r="F31" i="53"/>
  <c r="E31" i="53"/>
  <c r="D31" i="53"/>
  <c r="C31" i="53"/>
  <c r="W30" i="53"/>
  <c r="T30" i="53"/>
  <c r="R30" i="53"/>
  <c r="Q30" i="53"/>
  <c r="A30" i="53"/>
  <c r="T28" i="53"/>
  <c r="R28" i="53"/>
  <c r="Q28" i="53"/>
  <c r="W28" i="53" s="1"/>
  <c r="A28" i="53"/>
  <c r="R27" i="53"/>
  <c r="Q27" i="53"/>
  <c r="W27" i="53" s="1"/>
  <c r="A27" i="53"/>
  <c r="R26" i="53"/>
  <c r="T26" i="53" s="1"/>
  <c r="Q26" i="53"/>
  <c r="W26" i="53" s="1"/>
  <c r="A26" i="53"/>
  <c r="R24" i="53"/>
  <c r="T24" i="53" s="1"/>
  <c r="Q24" i="53"/>
  <c r="W24" i="53" s="1"/>
  <c r="A24" i="53"/>
  <c r="R23" i="53"/>
  <c r="T23" i="53" s="1"/>
  <c r="Q23" i="53"/>
  <c r="W23" i="53" s="1"/>
  <c r="A23" i="53"/>
  <c r="R22" i="53"/>
  <c r="T22" i="53" s="1"/>
  <c r="Q22" i="53"/>
  <c r="W22" i="53" s="1"/>
  <c r="A22" i="53"/>
  <c r="R20" i="53"/>
  <c r="T20" i="53" s="1"/>
  <c r="Q20" i="53"/>
  <c r="W20" i="53" s="1"/>
  <c r="A20" i="53"/>
  <c r="P18" i="53"/>
  <c r="P33" i="53" s="1"/>
  <c r="T126" i="5" s="1"/>
  <c r="O18" i="53"/>
  <c r="O33" i="53" s="1"/>
  <c r="N18" i="53"/>
  <c r="N33" i="53" s="1"/>
  <c r="T125" i="5" s="1"/>
  <c r="M18" i="53"/>
  <c r="M33" i="53" s="1"/>
  <c r="L18" i="53"/>
  <c r="L33" i="53" s="1"/>
  <c r="T124" i="5" s="1"/>
  <c r="K18" i="53"/>
  <c r="K33" i="53" s="1"/>
  <c r="J18" i="53"/>
  <c r="J33" i="53" s="1"/>
  <c r="T123" i="5" s="1"/>
  <c r="I18" i="53"/>
  <c r="I33" i="53" s="1"/>
  <c r="H18" i="53"/>
  <c r="H33" i="53" s="1"/>
  <c r="T122" i="5" s="1"/>
  <c r="G18" i="53"/>
  <c r="G33" i="53" s="1"/>
  <c r="F18" i="53"/>
  <c r="F33" i="53" s="1"/>
  <c r="T121" i="5" s="1"/>
  <c r="E18" i="53"/>
  <c r="E33" i="53" s="1"/>
  <c r="D18" i="53"/>
  <c r="D33" i="53" s="1"/>
  <c r="T120" i="5" s="1"/>
  <c r="C18" i="53"/>
  <c r="C33" i="53" s="1"/>
  <c r="R17" i="53"/>
  <c r="T17" i="53" s="1"/>
  <c r="Q17" i="53"/>
  <c r="W17" i="53" s="1"/>
  <c r="A17" i="53"/>
  <c r="R15" i="53"/>
  <c r="T15" i="53" s="1"/>
  <c r="Q15" i="53"/>
  <c r="W15" i="53" s="1"/>
  <c r="A15" i="53"/>
  <c r="R14" i="53"/>
  <c r="T14" i="53" s="1"/>
  <c r="Q14" i="53"/>
  <c r="W14" i="53" s="1"/>
  <c r="A14" i="53"/>
  <c r="W12" i="53"/>
  <c r="R12" i="53"/>
  <c r="T12" i="53" s="1"/>
  <c r="Q12" i="53"/>
  <c r="A12" i="53"/>
  <c r="T11" i="53"/>
  <c r="R11" i="53"/>
  <c r="Q11" i="53"/>
  <c r="W11" i="53" s="1"/>
  <c r="A11" i="53"/>
  <c r="W10" i="53"/>
  <c r="R10" i="53"/>
  <c r="Q10" i="53"/>
  <c r="A10" i="53"/>
  <c r="R9" i="53"/>
  <c r="T9" i="53" s="1"/>
  <c r="Q9" i="53"/>
  <c r="W9" i="53" s="1"/>
  <c r="A9" i="53"/>
  <c r="R7" i="53"/>
  <c r="T7" i="53" s="1"/>
  <c r="Q7" i="53"/>
  <c r="W7" i="53" s="1"/>
  <c r="A7" i="53"/>
  <c r="R6" i="53"/>
  <c r="T6" i="53" s="1"/>
  <c r="Q6" i="53"/>
  <c r="W6" i="53" s="1"/>
  <c r="A6" i="53"/>
  <c r="R5" i="53"/>
  <c r="Q5" i="53"/>
  <c r="W5" i="53" s="1"/>
  <c r="A5" i="53"/>
  <c r="J3" i="53"/>
  <c r="P3" i="53"/>
  <c r="P31" i="52"/>
  <c r="O31" i="52"/>
  <c r="N31" i="52"/>
  <c r="M31" i="52"/>
  <c r="L31" i="52"/>
  <c r="K31" i="52"/>
  <c r="J31" i="52"/>
  <c r="I31" i="52"/>
  <c r="H31" i="52"/>
  <c r="G31" i="52"/>
  <c r="F31" i="52"/>
  <c r="E31" i="52"/>
  <c r="D31" i="52"/>
  <c r="C31" i="52"/>
  <c r="W30" i="52"/>
  <c r="R30" i="52"/>
  <c r="T30" i="52" s="1"/>
  <c r="Q30" i="52"/>
  <c r="A30" i="52"/>
  <c r="T28" i="52"/>
  <c r="R28" i="52"/>
  <c r="Q28" i="52"/>
  <c r="W28" i="52" s="1"/>
  <c r="A28" i="52"/>
  <c r="R27" i="52"/>
  <c r="T27" i="52" s="1"/>
  <c r="Q27" i="52"/>
  <c r="W27" i="52" s="1"/>
  <c r="A27" i="52"/>
  <c r="T26" i="52"/>
  <c r="R26" i="52"/>
  <c r="Q26" i="52"/>
  <c r="W26" i="52" s="1"/>
  <c r="A26" i="52"/>
  <c r="W24" i="52"/>
  <c r="R24" i="52"/>
  <c r="Q24" i="52"/>
  <c r="A24" i="52"/>
  <c r="R23" i="52"/>
  <c r="T23" i="52" s="1"/>
  <c r="Q23" i="52"/>
  <c r="W23" i="52" s="1"/>
  <c r="A23" i="52"/>
  <c r="R22" i="52"/>
  <c r="T22" i="52" s="1"/>
  <c r="Q22" i="52"/>
  <c r="W22" i="52" s="1"/>
  <c r="A22" i="52"/>
  <c r="R20" i="52"/>
  <c r="T20" i="52" s="1"/>
  <c r="Q20" i="52"/>
  <c r="A20" i="52"/>
  <c r="P18" i="52"/>
  <c r="P33" i="52" s="1"/>
  <c r="T119" i="5" s="1"/>
  <c r="O18" i="52"/>
  <c r="O33" i="52" s="1"/>
  <c r="N18" i="52"/>
  <c r="N33" i="52" s="1"/>
  <c r="T118" i="5" s="1"/>
  <c r="M18" i="52"/>
  <c r="M33" i="52" s="1"/>
  <c r="L18" i="52"/>
  <c r="L33" i="52" s="1"/>
  <c r="T117" i="5" s="1"/>
  <c r="K18" i="52"/>
  <c r="K33" i="52" s="1"/>
  <c r="J18" i="52"/>
  <c r="J33" i="52" s="1"/>
  <c r="T116" i="5" s="1"/>
  <c r="I18" i="52"/>
  <c r="I33" i="52" s="1"/>
  <c r="H18" i="52"/>
  <c r="H33" i="52" s="1"/>
  <c r="T115" i="5" s="1"/>
  <c r="G18" i="52"/>
  <c r="G33" i="52" s="1"/>
  <c r="F18" i="52"/>
  <c r="F33" i="52" s="1"/>
  <c r="T114" i="5" s="1"/>
  <c r="E18" i="52"/>
  <c r="E33" i="52" s="1"/>
  <c r="D18" i="52"/>
  <c r="D33" i="52" s="1"/>
  <c r="T113" i="5" s="1"/>
  <c r="C18" i="52"/>
  <c r="C33" i="52" s="1"/>
  <c r="R17" i="52"/>
  <c r="T17" i="52" s="1"/>
  <c r="Q17" i="52"/>
  <c r="W17" i="52" s="1"/>
  <c r="A17" i="52"/>
  <c r="R15" i="52"/>
  <c r="T15" i="52" s="1"/>
  <c r="Q15" i="52"/>
  <c r="W15" i="52" s="1"/>
  <c r="A15" i="52"/>
  <c r="R14" i="52"/>
  <c r="T14" i="52" s="1"/>
  <c r="Q14" i="52"/>
  <c r="W14" i="52" s="1"/>
  <c r="A14" i="52"/>
  <c r="T12" i="52"/>
  <c r="R12" i="52"/>
  <c r="Q12" i="52"/>
  <c r="W12" i="52" s="1"/>
  <c r="A12" i="52"/>
  <c r="W11" i="52"/>
  <c r="R11" i="52"/>
  <c r="T11" i="52" s="1"/>
  <c r="Q11" i="52"/>
  <c r="A11" i="52"/>
  <c r="R10" i="52"/>
  <c r="T10" i="52" s="1"/>
  <c r="Q10" i="52"/>
  <c r="W10" i="52" s="1"/>
  <c r="A10" i="52"/>
  <c r="W9" i="52"/>
  <c r="R9" i="52"/>
  <c r="T9" i="52" s="1"/>
  <c r="Q9" i="52"/>
  <c r="A9" i="52"/>
  <c r="R7" i="52"/>
  <c r="T7" i="52" s="1"/>
  <c r="Q7" i="52"/>
  <c r="W7" i="52" s="1"/>
  <c r="A7" i="52"/>
  <c r="R6" i="52"/>
  <c r="T6" i="52" s="1"/>
  <c r="Q6" i="52"/>
  <c r="W6" i="52" s="1"/>
  <c r="A6" i="52"/>
  <c r="R5" i="52"/>
  <c r="Q5" i="52"/>
  <c r="W5" i="52" s="1"/>
  <c r="A5" i="52"/>
  <c r="O3" i="52"/>
  <c r="P31" i="51"/>
  <c r="O31" i="51"/>
  <c r="N31" i="51"/>
  <c r="M31" i="51"/>
  <c r="L31" i="51"/>
  <c r="K31" i="51"/>
  <c r="J31" i="51"/>
  <c r="I31" i="51"/>
  <c r="H31" i="51"/>
  <c r="G31" i="51"/>
  <c r="F31" i="51"/>
  <c r="E31" i="51"/>
  <c r="D31" i="51"/>
  <c r="C31" i="51"/>
  <c r="T30" i="51"/>
  <c r="R30" i="51"/>
  <c r="Q30" i="51"/>
  <c r="W30" i="51" s="1"/>
  <c r="A30" i="51"/>
  <c r="W28" i="51"/>
  <c r="R28" i="51"/>
  <c r="T28" i="51" s="1"/>
  <c r="Q28" i="51"/>
  <c r="A28" i="51"/>
  <c r="R27" i="51"/>
  <c r="T27" i="51" s="1"/>
  <c r="Q27" i="51"/>
  <c r="W27" i="51" s="1"/>
  <c r="A27" i="51"/>
  <c r="R26" i="51"/>
  <c r="T26" i="51" s="1"/>
  <c r="Q26" i="51"/>
  <c r="W26" i="51" s="1"/>
  <c r="A26" i="51"/>
  <c r="T24" i="51"/>
  <c r="R24" i="51"/>
  <c r="Q24" i="51"/>
  <c r="W24" i="51" s="1"/>
  <c r="A24" i="51"/>
  <c r="W23" i="51"/>
  <c r="R23" i="51"/>
  <c r="T23" i="51" s="1"/>
  <c r="Q23" i="51"/>
  <c r="A23" i="51"/>
  <c r="R22" i="51"/>
  <c r="T22" i="51" s="1"/>
  <c r="Q22" i="51"/>
  <c r="W22" i="51" s="1"/>
  <c r="A22" i="51"/>
  <c r="R20" i="51"/>
  <c r="T20" i="51" s="1"/>
  <c r="Q20" i="51"/>
  <c r="W20" i="51" s="1"/>
  <c r="A20" i="51"/>
  <c r="P18" i="51"/>
  <c r="P33" i="51" s="1"/>
  <c r="T112" i="5" s="1"/>
  <c r="O18" i="51"/>
  <c r="O33" i="51" s="1"/>
  <c r="N18" i="51"/>
  <c r="N33" i="51" s="1"/>
  <c r="T111" i="5" s="1"/>
  <c r="M18" i="51"/>
  <c r="M33" i="51" s="1"/>
  <c r="L18" i="51"/>
  <c r="L33" i="51" s="1"/>
  <c r="T110" i="5" s="1"/>
  <c r="K18" i="51"/>
  <c r="K33" i="51" s="1"/>
  <c r="J18" i="51"/>
  <c r="J33" i="51" s="1"/>
  <c r="T109" i="5" s="1"/>
  <c r="I18" i="51"/>
  <c r="I33" i="51" s="1"/>
  <c r="H18" i="51"/>
  <c r="H33" i="51" s="1"/>
  <c r="T108" i="5" s="1"/>
  <c r="G18" i="51"/>
  <c r="G33" i="51" s="1"/>
  <c r="F18" i="51"/>
  <c r="F33" i="51" s="1"/>
  <c r="L137" i="5" s="1"/>
  <c r="E18" i="51"/>
  <c r="E33" i="51" s="1"/>
  <c r="D18" i="51"/>
  <c r="D33" i="51" s="1"/>
  <c r="L136" i="5" s="1"/>
  <c r="C18" i="51"/>
  <c r="C33" i="51" s="1"/>
  <c r="R17" i="51"/>
  <c r="T17" i="51" s="1"/>
  <c r="Q17" i="51"/>
  <c r="W17" i="51" s="1"/>
  <c r="A17" i="51"/>
  <c r="R15" i="51"/>
  <c r="T15" i="51" s="1"/>
  <c r="Q15" i="51"/>
  <c r="W15" i="51" s="1"/>
  <c r="A15" i="51"/>
  <c r="W14" i="51"/>
  <c r="R14" i="51"/>
  <c r="T14" i="51" s="1"/>
  <c r="Q14" i="51"/>
  <c r="A14" i="51"/>
  <c r="T12" i="51"/>
  <c r="R12" i="51"/>
  <c r="Q12" i="51"/>
  <c r="W12" i="51" s="1"/>
  <c r="A12" i="51"/>
  <c r="W11" i="51"/>
  <c r="R11" i="51"/>
  <c r="T11" i="51" s="1"/>
  <c r="Q11" i="51"/>
  <c r="A11" i="51"/>
  <c r="W10" i="51"/>
  <c r="R10" i="51"/>
  <c r="T10" i="51" s="1"/>
  <c r="Q10" i="51"/>
  <c r="A10" i="51"/>
  <c r="R9" i="51"/>
  <c r="T9" i="51" s="1"/>
  <c r="Q9" i="51"/>
  <c r="W9" i="51" s="1"/>
  <c r="A9" i="51"/>
  <c r="T7" i="51"/>
  <c r="R7" i="51"/>
  <c r="Q7" i="51"/>
  <c r="W7" i="51" s="1"/>
  <c r="A7" i="51"/>
  <c r="R6" i="51"/>
  <c r="T6" i="51" s="1"/>
  <c r="Q6" i="51"/>
  <c r="W6" i="51" s="1"/>
  <c r="A6" i="51"/>
  <c r="R5" i="51"/>
  <c r="Q5" i="51"/>
  <c r="W5" i="51" s="1"/>
  <c r="A5" i="51"/>
  <c r="I3" i="51"/>
  <c r="O3" i="51"/>
  <c r="P31" i="50"/>
  <c r="O31" i="50"/>
  <c r="N31" i="50"/>
  <c r="M31" i="50"/>
  <c r="L31" i="50"/>
  <c r="K31" i="50"/>
  <c r="J31" i="50"/>
  <c r="I31" i="50"/>
  <c r="H31" i="50"/>
  <c r="G31" i="50"/>
  <c r="F31" i="50"/>
  <c r="E31" i="50"/>
  <c r="D31" i="50"/>
  <c r="C31" i="50"/>
  <c r="W30" i="50"/>
  <c r="R30" i="50"/>
  <c r="T30" i="50" s="1"/>
  <c r="Q30" i="50"/>
  <c r="A30" i="50"/>
  <c r="T28" i="50"/>
  <c r="R28" i="50"/>
  <c r="Q28" i="50"/>
  <c r="W28" i="50" s="1"/>
  <c r="A28" i="50"/>
  <c r="W27" i="50"/>
  <c r="R27" i="50"/>
  <c r="T27" i="50" s="1"/>
  <c r="Q27" i="50"/>
  <c r="A27" i="50"/>
  <c r="R26" i="50"/>
  <c r="T26" i="50" s="1"/>
  <c r="Q26" i="50"/>
  <c r="W26" i="50" s="1"/>
  <c r="A26" i="50"/>
  <c r="R24" i="50"/>
  <c r="T24" i="50" s="1"/>
  <c r="Q24" i="50"/>
  <c r="W24" i="50" s="1"/>
  <c r="A24" i="50"/>
  <c r="R23" i="50"/>
  <c r="T23" i="50" s="1"/>
  <c r="Q23" i="50"/>
  <c r="W23" i="50" s="1"/>
  <c r="A23" i="50"/>
  <c r="R22" i="50"/>
  <c r="T22" i="50" s="1"/>
  <c r="Q22" i="50"/>
  <c r="W22" i="50" s="1"/>
  <c r="A22" i="50"/>
  <c r="R20" i="50"/>
  <c r="T20" i="50" s="1"/>
  <c r="Q20" i="50"/>
  <c r="W20" i="50" s="1"/>
  <c r="A20" i="50"/>
  <c r="P18" i="50"/>
  <c r="P33" i="50" s="1"/>
  <c r="L135" i="5" s="1"/>
  <c r="O18" i="50"/>
  <c r="O33" i="50" s="1"/>
  <c r="N18" i="50"/>
  <c r="N33" i="50" s="1"/>
  <c r="L134" i="5" s="1"/>
  <c r="M18" i="50"/>
  <c r="M33" i="50" s="1"/>
  <c r="L18" i="50"/>
  <c r="L33" i="50" s="1"/>
  <c r="L133" i="5" s="1"/>
  <c r="K18" i="50"/>
  <c r="K33" i="50" s="1"/>
  <c r="J18" i="50"/>
  <c r="J33" i="50" s="1"/>
  <c r="L132" i="5" s="1"/>
  <c r="I18" i="50"/>
  <c r="I33" i="50" s="1"/>
  <c r="H18" i="50"/>
  <c r="H33" i="50" s="1"/>
  <c r="L131" i="5" s="1"/>
  <c r="G18" i="50"/>
  <c r="G33" i="50" s="1"/>
  <c r="F18" i="50"/>
  <c r="F33" i="50" s="1"/>
  <c r="L130" i="5" s="1"/>
  <c r="E18" i="50"/>
  <c r="E33" i="50" s="1"/>
  <c r="D18" i="50"/>
  <c r="D33" i="50" s="1"/>
  <c r="L129" i="5" s="1"/>
  <c r="C18" i="50"/>
  <c r="C33" i="50" s="1"/>
  <c r="R17" i="50"/>
  <c r="T17" i="50" s="1"/>
  <c r="Q17" i="50"/>
  <c r="W17" i="50" s="1"/>
  <c r="A17" i="50"/>
  <c r="R15" i="50"/>
  <c r="T15" i="50" s="1"/>
  <c r="Q15" i="50"/>
  <c r="W15" i="50" s="1"/>
  <c r="A15" i="50"/>
  <c r="R14" i="50"/>
  <c r="T14" i="50" s="1"/>
  <c r="Q14" i="50"/>
  <c r="W14" i="50" s="1"/>
  <c r="A14" i="50"/>
  <c r="W12" i="50"/>
  <c r="R12" i="50"/>
  <c r="T12" i="50" s="1"/>
  <c r="Q12" i="50"/>
  <c r="R11" i="50"/>
  <c r="T11" i="50" s="1"/>
  <c r="Q11" i="50"/>
  <c r="W11" i="50" s="1"/>
  <c r="R10" i="50"/>
  <c r="T10" i="50" s="1"/>
  <c r="Q10" i="50"/>
  <c r="W10" i="50" s="1"/>
  <c r="R9" i="50"/>
  <c r="T9" i="50" s="1"/>
  <c r="Q9" i="50"/>
  <c r="W9" i="50" s="1"/>
  <c r="R7" i="50"/>
  <c r="T7" i="50" s="1"/>
  <c r="Q7" i="50"/>
  <c r="W7" i="50" s="1"/>
  <c r="A7" i="50"/>
  <c r="R6" i="50"/>
  <c r="T6" i="50" s="1"/>
  <c r="Q6" i="50"/>
  <c r="W6" i="50" s="1"/>
  <c r="A6" i="50"/>
  <c r="R5" i="50"/>
  <c r="Q5" i="50"/>
  <c r="W5" i="50" s="1"/>
  <c r="A5" i="50"/>
  <c r="O3" i="50"/>
  <c r="P31" i="49"/>
  <c r="O31" i="49"/>
  <c r="N31" i="49"/>
  <c r="M31" i="49"/>
  <c r="L31" i="49"/>
  <c r="K31" i="49"/>
  <c r="J31" i="49"/>
  <c r="I31" i="49"/>
  <c r="H31" i="49"/>
  <c r="G31" i="49"/>
  <c r="F31" i="49"/>
  <c r="E31" i="49"/>
  <c r="D31" i="49"/>
  <c r="C31" i="49"/>
  <c r="R30" i="49"/>
  <c r="T30" i="49" s="1"/>
  <c r="Q30" i="49"/>
  <c r="W30" i="49" s="1"/>
  <c r="A30" i="49"/>
  <c r="T28" i="49"/>
  <c r="R28" i="49"/>
  <c r="Q28" i="49"/>
  <c r="W28" i="49" s="1"/>
  <c r="A28" i="49"/>
  <c r="W27" i="49"/>
  <c r="R27" i="49"/>
  <c r="T27" i="49" s="1"/>
  <c r="Q27" i="49"/>
  <c r="A27" i="49"/>
  <c r="R26" i="49"/>
  <c r="T26" i="49" s="1"/>
  <c r="Q26" i="49"/>
  <c r="W26" i="49" s="1"/>
  <c r="A26" i="49"/>
  <c r="T24" i="49"/>
  <c r="R24" i="49"/>
  <c r="Q24" i="49"/>
  <c r="W24" i="49" s="1"/>
  <c r="A24" i="49"/>
  <c r="W23" i="49"/>
  <c r="R23" i="49"/>
  <c r="T23" i="49" s="1"/>
  <c r="Q23" i="49"/>
  <c r="A23" i="49"/>
  <c r="R22" i="49"/>
  <c r="T22" i="49" s="1"/>
  <c r="Q22" i="49"/>
  <c r="W22" i="49" s="1"/>
  <c r="A22" i="49"/>
  <c r="W20" i="49"/>
  <c r="R20" i="49"/>
  <c r="T20" i="49" s="1"/>
  <c r="Q20" i="49"/>
  <c r="A20" i="49"/>
  <c r="P18" i="49"/>
  <c r="P33" i="49" s="1"/>
  <c r="L128" i="5" s="1"/>
  <c r="O18" i="49"/>
  <c r="O33" i="49" s="1"/>
  <c r="N18" i="49"/>
  <c r="N33" i="49" s="1"/>
  <c r="L127" i="5" s="1"/>
  <c r="M18" i="49"/>
  <c r="M33" i="49" s="1"/>
  <c r="L18" i="49"/>
  <c r="L33" i="49" s="1"/>
  <c r="L126" i="5" s="1"/>
  <c r="K18" i="49"/>
  <c r="K33" i="49" s="1"/>
  <c r="J18" i="49"/>
  <c r="J33" i="49" s="1"/>
  <c r="L125" i="5" s="1"/>
  <c r="I18" i="49"/>
  <c r="I33" i="49" s="1"/>
  <c r="H18" i="49"/>
  <c r="H33" i="49" s="1"/>
  <c r="L124" i="5" s="1"/>
  <c r="G18" i="49"/>
  <c r="G33" i="49" s="1"/>
  <c r="F18" i="49"/>
  <c r="F33" i="49" s="1"/>
  <c r="L123" i="5" s="1"/>
  <c r="E18" i="49"/>
  <c r="E33" i="49" s="1"/>
  <c r="D18" i="49"/>
  <c r="D33" i="49" s="1"/>
  <c r="L122" i="5" s="1"/>
  <c r="C18" i="49"/>
  <c r="C33" i="49" s="1"/>
  <c r="R17" i="49"/>
  <c r="T17" i="49" s="1"/>
  <c r="Q17" i="49"/>
  <c r="W17" i="49" s="1"/>
  <c r="A17" i="49"/>
  <c r="R15" i="49"/>
  <c r="T15" i="49" s="1"/>
  <c r="Q15" i="49"/>
  <c r="W15" i="49" s="1"/>
  <c r="A15" i="49"/>
  <c r="W14" i="49"/>
  <c r="R14" i="49"/>
  <c r="T14" i="49" s="1"/>
  <c r="Q14" i="49"/>
  <c r="A14" i="49"/>
  <c r="T12" i="49"/>
  <c r="R12" i="49"/>
  <c r="Q12" i="49"/>
  <c r="W12" i="49" s="1"/>
  <c r="A12" i="49"/>
  <c r="W11" i="49"/>
  <c r="R11" i="49"/>
  <c r="T11" i="49" s="1"/>
  <c r="Q11" i="49"/>
  <c r="A11" i="49"/>
  <c r="R10" i="49"/>
  <c r="T10" i="49" s="1"/>
  <c r="Q10" i="49"/>
  <c r="W10" i="49" s="1"/>
  <c r="A10" i="49"/>
  <c r="R9" i="49"/>
  <c r="T9" i="49" s="1"/>
  <c r="Q9" i="49"/>
  <c r="W9" i="49" s="1"/>
  <c r="A9" i="49"/>
  <c r="W7" i="49"/>
  <c r="R7" i="49"/>
  <c r="T7" i="49" s="1"/>
  <c r="Q7" i="49"/>
  <c r="A7" i="49"/>
  <c r="R6" i="49"/>
  <c r="T6" i="49" s="1"/>
  <c r="Q6" i="49"/>
  <c r="W6" i="49" s="1"/>
  <c r="A6" i="49"/>
  <c r="R5" i="49"/>
  <c r="R18" i="49" s="1"/>
  <c r="Q5" i="49"/>
  <c r="W5" i="49" s="1"/>
  <c r="A5" i="49"/>
  <c r="M3" i="49"/>
  <c r="E3" i="49"/>
  <c r="O3" i="49"/>
  <c r="P31" i="48"/>
  <c r="O31" i="48"/>
  <c r="N31" i="48"/>
  <c r="M31" i="48"/>
  <c r="L31" i="48"/>
  <c r="K31" i="48"/>
  <c r="J31" i="48"/>
  <c r="I31" i="48"/>
  <c r="H31" i="48"/>
  <c r="G31" i="48"/>
  <c r="F31" i="48"/>
  <c r="E31" i="48"/>
  <c r="D31" i="48"/>
  <c r="C31" i="48"/>
  <c r="R30" i="48"/>
  <c r="T30" i="48" s="1"/>
  <c r="Q30" i="48"/>
  <c r="W30" i="48" s="1"/>
  <c r="A30" i="48"/>
  <c r="W28" i="48"/>
  <c r="R28" i="48"/>
  <c r="T28" i="48" s="1"/>
  <c r="Q28" i="48"/>
  <c r="A28" i="48"/>
  <c r="R27" i="48"/>
  <c r="T27" i="48" s="1"/>
  <c r="Q27" i="48"/>
  <c r="W27" i="48" s="1"/>
  <c r="A27" i="48"/>
  <c r="R26" i="48"/>
  <c r="T26" i="48" s="1"/>
  <c r="Q26" i="48"/>
  <c r="W26" i="48" s="1"/>
  <c r="A26" i="48"/>
  <c r="R24" i="48"/>
  <c r="T24" i="48" s="1"/>
  <c r="Q24" i="48"/>
  <c r="W24" i="48" s="1"/>
  <c r="A24" i="48"/>
  <c r="R23" i="48"/>
  <c r="T23" i="48" s="1"/>
  <c r="Q23" i="48"/>
  <c r="W23" i="48" s="1"/>
  <c r="A23" i="48"/>
  <c r="W22" i="48"/>
  <c r="R22" i="48"/>
  <c r="T22" i="48" s="1"/>
  <c r="Q22" i="48"/>
  <c r="A22" i="48"/>
  <c r="W20" i="48"/>
  <c r="R20" i="48"/>
  <c r="T20" i="48" s="1"/>
  <c r="Q20" i="48"/>
  <c r="A20" i="48"/>
  <c r="P18" i="48"/>
  <c r="P33" i="48" s="1"/>
  <c r="L121" i="5" s="1"/>
  <c r="O18" i="48"/>
  <c r="O33" i="48" s="1"/>
  <c r="N18" i="48"/>
  <c r="N33" i="48" s="1"/>
  <c r="L120" i="5" s="1"/>
  <c r="M18" i="48"/>
  <c r="M33" i="48" s="1"/>
  <c r="L18" i="48"/>
  <c r="L33" i="48" s="1"/>
  <c r="L119" i="5" s="1"/>
  <c r="K18" i="48"/>
  <c r="K33" i="48" s="1"/>
  <c r="J18" i="48"/>
  <c r="J33" i="48" s="1"/>
  <c r="L118" i="5" s="1"/>
  <c r="I18" i="48"/>
  <c r="I33" i="48" s="1"/>
  <c r="H18" i="48"/>
  <c r="H33" i="48" s="1"/>
  <c r="L117" i="5" s="1"/>
  <c r="G18" i="48"/>
  <c r="G33" i="48" s="1"/>
  <c r="F18" i="48"/>
  <c r="F33" i="48" s="1"/>
  <c r="L116" i="5" s="1"/>
  <c r="E18" i="48"/>
  <c r="E33" i="48" s="1"/>
  <c r="D18" i="48"/>
  <c r="D33" i="48" s="1"/>
  <c r="L115" i="5" s="1"/>
  <c r="C18" i="48"/>
  <c r="C33" i="48" s="1"/>
  <c r="R17" i="48"/>
  <c r="T17" i="48" s="1"/>
  <c r="Q17" i="48"/>
  <c r="W17" i="48" s="1"/>
  <c r="A17" i="48"/>
  <c r="R15" i="48"/>
  <c r="T15" i="48" s="1"/>
  <c r="Q15" i="48"/>
  <c r="W15" i="48" s="1"/>
  <c r="A15" i="48"/>
  <c r="R14" i="48"/>
  <c r="T14" i="48" s="1"/>
  <c r="Q14" i="48"/>
  <c r="W14" i="48" s="1"/>
  <c r="A14" i="48"/>
  <c r="R12" i="48"/>
  <c r="T12" i="48" s="1"/>
  <c r="Q12" i="48"/>
  <c r="W12" i="48" s="1"/>
  <c r="A12" i="48"/>
  <c r="W11" i="48"/>
  <c r="T11" i="48"/>
  <c r="R11" i="48"/>
  <c r="Q11" i="48"/>
  <c r="A11" i="48"/>
  <c r="W10" i="48"/>
  <c r="R10" i="48"/>
  <c r="T10" i="48" s="1"/>
  <c r="Q10" i="48"/>
  <c r="A10" i="48"/>
  <c r="R9" i="48"/>
  <c r="T9" i="48" s="1"/>
  <c r="Q9" i="48"/>
  <c r="W9" i="48" s="1"/>
  <c r="A9" i="48"/>
  <c r="R7" i="48"/>
  <c r="T7" i="48" s="1"/>
  <c r="Q7" i="48"/>
  <c r="W7" i="48" s="1"/>
  <c r="A7" i="48"/>
  <c r="R6" i="48"/>
  <c r="T6" i="48" s="1"/>
  <c r="Q6" i="48"/>
  <c r="W6" i="48" s="1"/>
  <c r="A6" i="48"/>
  <c r="R5" i="48"/>
  <c r="Q5" i="48"/>
  <c r="W5" i="48" s="1"/>
  <c r="A5" i="48"/>
  <c r="M3" i="48"/>
  <c r="I3" i="48"/>
  <c r="E3" i="48"/>
  <c r="O3" i="48"/>
  <c r="P31" i="47"/>
  <c r="O31" i="47"/>
  <c r="N31" i="47"/>
  <c r="M31" i="47"/>
  <c r="L31" i="47"/>
  <c r="K31" i="47"/>
  <c r="J31" i="47"/>
  <c r="I31" i="47"/>
  <c r="H31" i="47"/>
  <c r="G31" i="47"/>
  <c r="F31" i="47"/>
  <c r="E31" i="47"/>
  <c r="D31" i="47"/>
  <c r="C31" i="47"/>
  <c r="T30" i="47"/>
  <c r="R30" i="47"/>
  <c r="Q30" i="47"/>
  <c r="W30" i="47" s="1"/>
  <c r="A30" i="47"/>
  <c r="W28" i="47"/>
  <c r="R28" i="47"/>
  <c r="T28" i="47" s="1"/>
  <c r="Q28" i="47"/>
  <c r="A28" i="47"/>
  <c r="R27" i="47"/>
  <c r="Q27" i="47"/>
  <c r="W27" i="47" s="1"/>
  <c r="A27" i="47"/>
  <c r="R26" i="47"/>
  <c r="T26" i="47" s="1"/>
  <c r="Q26" i="47"/>
  <c r="W26" i="47" s="1"/>
  <c r="A26" i="47"/>
  <c r="R24" i="47"/>
  <c r="T24" i="47" s="1"/>
  <c r="Q24" i="47"/>
  <c r="W24" i="47" s="1"/>
  <c r="A24" i="47"/>
  <c r="R23" i="47"/>
  <c r="T23" i="47" s="1"/>
  <c r="Q23" i="47"/>
  <c r="W23" i="47" s="1"/>
  <c r="A23" i="47"/>
  <c r="R22" i="47"/>
  <c r="T22" i="47" s="1"/>
  <c r="Q22" i="47"/>
  <c r="W22" i="47" s="1"/>
  <c r="A22" i="47"/>
  <c r="R20" i="47"/>
  <c r="T20" i="47" s="1"/>
  <c r="Q20" i="47"/>
  <c r="W20" i="47" s="1"/>
  <c r="A20" i="47"/>
  <c r="P18" i="47"/>
  <c r="P33" i="47" s="1"/>
  <c r="L114" i="5" s="1"/>
  <c r="O18" i="47"/>
  <c r="O33" i="47" s="1"/>
  <c r="N18" i="47"/>
  <c r="N33" i="47" s="1"/>
  <c r="L113" i="5" s="1"/>
  <c r="M18" i="47"/>
  <c r="M33" i="47" s="1"/>
  <c r="L18" i="47"/>
  <c r="L33" i="47" s="1"/>
  <c r="L112" i="5" s="1"/>
  <c r="K18" i="47"/>
  <c r="K33" i="47" s="1"/>
  <c r="J18" i="47"/>
  <c r="J33" i="47" s="1"/>
  <c r="L111" i="5" s="1"/>
  <c r="I18" i="47"/>
  <c r="I33" i="47" s="1"/>
  <c r="H18" i="47"/>
  <c r="H33" i="47" s="1"/>
  <c r="L110" i="5" s="1"/>
  <c r="G18" i="47"/>
  <c r="G33" i="47" s="1"/>
  <c r="F18" i="47"/>
  <c r="F33" i="47" s="1"/>
  <c r="L109" i="5" s="1"/>
  <c r="E18" i="47"/>
  <c r="E33" i="47" s="1"/>
  <c r="D18" i="47"/>
  <c r="D33" i="47" s="1"/>
  <c r="L108" i="5" s="1"/>
  <c r="O108" i="5" s="1"/>
  <c r="C18" i="47"/>
  <c r="C33" i="47" s="1"/>
  <c r="R17" i="47"/>
  <c r="T17" i="47" s="1"/>
  <c r="Q17" i="47"/>
  <c r="W17" i="47" s="1"/>
  <c r="A17" i="47"/>
  <c r="R15" i="47"/>
  <c r="T15" i="47" s="1"/>
  <c r="Q15" i="47"/>
  <c r="W15" i="47" s="1"/>
  <c r="A15" i="47"/>
  <c r="W14" i="47"/>
  <c r="R14" i="47"/>
  <c r="T14" i="47" s="1"/>
  <c r="Q14" i="47"/>
  <c r="A14" i="47"/>
  <c r="R12" i="47"/>
  <c r="T12" i="47" s="1"/>
  <c r="Q12" i="47"/>
  <c r="W12" i="47" s="1"/>
  <c r="A12" i="47"/>
  <c r="R11" i="47"/>
  <c r="T11" i="47" s="1"/>
  <c r="Q11" i="47"/>
  <c r="W11" i="47" s="1"/>
  <c r="A11" i="47"/>
  <c r="R10" i="47"/>
  <c r="T10" i="47" s="1"/>
  <c r="Q10" i="47"/>
  <c r="W10" i="47" s="1"/>
  <c r="A10" i="47"/>
  <c r="R9" i="47"/>
  <c r="T9" i="47" s="1"/>
  <c r="Q9" i="47"/>
  <c r="W9" i="47" s="1"/>
  <c r="A9" i="47"/>
  <c r="R7" i="47"/>
  <c r="T7" i="47" s="1"/>
  <c r="Q7" i="47"/>
  <c r="W7" i="47" s="1"/>
  <c r="A7" i="47"/>
  <c r="R6" i="47"/>
  <c r="T6" i="47" s="1"/>
  <c r="Q6" i="47"/>
  <c r="W6" i="47" s="1"/>
  <c r="A6" i="47"/>
  <c r="R5" i="47"/>
  <c r="Q5" i="47"/>
  <c r="W5" i="47" s="1"/>
  <c r="A5" i="47"/>
  <c r="O3" i="47"/>
  <c r="P31" i="46"/>
  <c r="O31" i="46"/>
  <c r="N31" i="46"/>
  <c r="M31" i="46"/>
  <c r="L31" i="46"/>
  <c r="K31" i="46"/>
  <c r="J31" i="46"/>
  <c r="I31" i="46"/>
  <c r="H31" i="46"/>
  <c r="G31" i="46"/>
  <c r="F31" i="46"/>
  <c r="E31" i="46"/>
  <c r="D31" i="46"/>
  <c r="C31" i="46"/>
  <c r="R30" i="46"/>
  <c r="T30" i="46" s="1"/>
  <c r="Q30" i="46"/>
  <c r="W30" i="46" s="1"/>
  <c r="A30" i="46"/>
  <c r="W28" i="46"/>
  <c r="T28" i="46"/>
  <c r="R28" i="46"/>
  <c r="Q28" i="46"/>
  <c r="A28" i="46"/>
  <c r="W27" i="46"/>
  <c r="R27" i="46"/>
  <c r="T27" i="46" s="1"/>
  <c r="Q27" i="46"/>
  <c r="A27" i="46"/>
  <c r="T26" i="46"/>
  <c r="R26" i="46"/>
  <c r="Q26" i="46"/>
  <c r="W26" i="46" s="1"/>
  <c r="A26" i="46"/>
  <c r="T24" i="46"/>
  <c r="R24" i="46"/>
  <c r="Q24" i="46"/>
  <c r="W24" i="46" s="1"/>
  <c r="A24" i="46"/>
  <c r="W23" i="46"/>
  <c r="R23" i="46"/>
  <c r="T23" i="46" s="1"/>
  <c r="Q23" i="46"/>
  <c r="A23" i="46"/>
  <c r="R22" i="46"/>
  <c r="T22" i="46" s="1"/>
  <c r="Q22" i="46"/>
  <c r="W22" i="46" s="1"/>
  <c r="A22" i="46"/>
  <c r="R20" i="46"/>
  <c r="T20" i="46" s="1"/>
  <c r="Q20" i="46"/>
  <c r="W20" i="46" s="1"/>
  <c r="A20" i="46"/>
  <c r="P18" i="46"/>
  <c r="P33" i="46" s="1"/>
  <c r="D138" i="5" s="1"/>
  <c r="O18" i="46"/>
  <c r="O33" i="46" s="1"/>
  <c r="N18" i="46"/>
  <c r="N33" i="46" s="1"/>
  <c r="D137" i="5" s="1"/>
  <c r="M18" i="46"/>
  <c r="M33" i="46" s="1"/>
  <c r="L18" i="46"/>
  <c r="L33" i="46" s="1"/>
  <c r="D136" i="5" s="1"/>
  <c r="K18" i="46"/>
  <c r="K33" i="46" s="1"/>
  <c r="J18" i="46"/>
  <c r="J33" i="46" s="1"/>
  <c r="D135" i="5" s="1"/>
  <c r="I18" i="46"/>
  <c r="I33" i="46" s="1"/>
  <c r="H18" i="46"/>
  <c r="H33" i="46" s="1"/>
  <c r="D134" i="5" s="1"/>
  <c r="G18" i="46"/>
  <c r="G33" i="46" s="1"/>
  <c r="F18" i="46"/>
  <c r="F33" i="46" s="1"/>
  <c r="D133" i="5" s="1"/>
  <c r="E18" i="46"/>
  <c r="E33" i="46" s="1"/>
  <c r="D18" i="46"/>
  <c r="D33" i="46" s="1"/>
  <c r="D132" i="5" s="1"/>
  <c r="C18" i="46"/>
  <c r="C33" i="46" s="1"/>
  <c r="R17" i="46"/>
  <c r="T17" i="46" s="1"/>
  <c r="Q17" i="46"/>
  <c r="W17" i="46" s="1"/>
  <c r="A17" i="46"/>
  <c r="R15" i="46"/>
  <c r="T15" i="46" s="1"/>
  <c r="Q15" i="46"/>
  <c r="W15" i="46" s="1"/>
  <c r="A15" i="46"/>
  <c r="R14" i="46"/>
  <c r="T14" i="46" s="1"/>
  <c r="Q14" i="46"/>
  <c r="W14" i="46" s="1"/>
  <c r="A14" i="46"/>
  <c r="T12" i="46"/>
  <c r="R12" i="46"/>
  <c r="Q12" i="46"/>
  <c r="W12" i="46" s="1"/>
  <c r="A12" i="46"/>
  <c r="W11" i="46"/>
  <c r="T11" i="46"/>
  <c r="R11" i="46"/>
  <c r="Q11" i="46"/>
  <c r="A11" i="46"/>
  <c r="W10" i="46"/>
  <c r="R10" i="46"/>
  <c r="T10" i="46" s="1"/>
  <c r="Q10" i="46"/>
  <c r="A10" i="46"/>
  <c r="R9" i="46"/>
  <c r="T9" i="46" s="1"/>
  <c r="Q9" i="46"/>
  <c r="W9" i="46" s="1"/>
  <c r="A9" i="46"/>
  <c r="T7" i="46"/>
  <c r="R7" i="46"/>
  <c r="Q7" i="46"/>
  <c r="W7" i="46" s="1"/>
  <c r="A7" i="46"/>
  <c r="R6" i="46"/>
  <c r="T6" i="46" s="1"/>
  <c r="Q6" i="46"/>
  <c r="W6" i="46" s="1"/>
  <c r="A6" i="46"/>
  <c r="R5" i="46"/>
  <c r="Q5" i="46"/>
  <c r="W5" i="46" s="1"/>
  <c r="A5" i="46"/>
  <c r="O3" i="46"/>
  <c r="P31" i="45"/>
  <c r="O31" i="45"/>
  <c r="N31" i="45"/>
  <c r="M31" i="45"/>
  <c r="L31" i="45"/>
  <c r="K31" i="45"/>
  <c r="J31" i="45"/>
  <c r="I31" i="45"/>
  <c r="H31" i="45"/>
  <c r="G31" i="45"/>
  <c r="F31" i="45"/>
  <c r="E31" i="45"/>
  <c r="D31" i="45"/>
  <c r="C31" i="45"/>
  <c r="R30" i="45"/>
  <c r="T30" i="45" s="1"/>
  <c r="Q30" i="45"/>
  <c r="W30" i="45" s="1"/>
  <c r="A30" i="45"/>
  <c r="R28" i="45"/>
  <c r="T28" i="45" s="1"/>
  <c r="Q28" i="45"/>
  <c r="W28" i="45" s="1"/>
  <c r="A28" i="45"/>
  <c r="R27" i="45"/>
  <c r="T27" i="45" s="1"/>
  <c r="Q27" i="45"/>
  <c r="W27" i="45" s="1"/>
  <c r="A27" i="45"/>
  <c r="R26" i="45"/>
  <c r="T26" i="45" s="1"/>
  <c r="Q26" i="45"/>
  <c r="W26" i="45" s="1"/>
  <c r="A26" i="45"/>
  <c r="R24" i="45"/>
  <c r="T24" i="45" s="1"/>
  <c r="Q24" i="45"/>
  <c r="W24" i="45" s="1"/>
  <c r="A24" i="45"/>
  <c r="R23" i="45"/>
  <c r="T23" i="45" s="1"/>
  <c r="Q23" i="45"/>
  <c r="W23" i="45" s="1"/>
  <c r="A23" i="45"/>
  <c r="R22" i="45"/>
  <c r="T22" i="45" s="1"/>
  <c r="Q22" i="45"/>
  <c r="W22" i="45" s="1"/>
  <c r="A22" i="45"/>
  <c r="R20" i="45"/>
  <c r="T20" i="45" s="1"/>
  <c r="Q20" i="45"/>
  <c r="W20" i="45" s="1"/>
  <c r="A20" i="45"/>
  <c r="P18" i="45"/>
  <c r="P33" i="45" s="1"/>
  <c r="D131" i="5" s="1"/>
  <c r="O18" i="45"/>
  <c r="O33" i="45" s="1"/>
  <c r="N18" i="45"/>
  <c r="N33" i="45" s="1"/>
  <c r="D130" i="5" s="1"/>
  <c r="M18" i="45"/>
  <c r="M33" i="45" s="1"/>
  <c r="L18" i="45"/>
  <c r="L33" i="45" s="1"/>
  <c r="D129" i="5" s="1"/>
  <c r="K18" i="45"/>
  <c r="K33" i="45" s="1"/>
  <c r="J18" i="45"/>
  <c r="J33" i="45" s="1"/>
  <c r="D128" i="5" s="1"/>
  <c r="I18" i="45"/>
  <c r="I33" i="45" s="1"/>
  <c r="H18" i="45"/>
  <c r="H33" i="45" s="1"/>
  <c r="D127" i="5" s="1"/>
  <c r="G18" i="45"/>
  <c r="G33" i="45" s="1"/>
  <c r="F18" i="45"/>
  <c r="F33" i="45" s="1"/>
  <c r="D126" i="5" s="1"/>
  <c r="E18" i="45"/>
  <c r="E33" i="45" s="1"/>
  <c r="D18" i="45"/>
  <c r="D33" i="45" s="1"/>
  <c r="D125" i="5" s="1"/>
  <c r="C18" i="45"/>
  <c r="C33" i="45" s="1"/>
  <c r="R17" i="45"/>
  <c r="T17" i="45" s="1"/>
  <c r="Q17" i="45"/>
  <c r="W17" i="45" s="1"/>
  <c r="A17" i="45"/>
  <c r="R15" i="45"/>
  <c r="T15" i="45" s="1"/>
  <c r="Q15" i="45"/>
  <c r="W15" i="45" s="1"/>
  <c r="A15" i="45"/>
  <c r="R14" i="45"/>
  <c r="T14" i="45" s="1"/>
  <c r="Q14" i="45"/>
  <c r="W14" i="45" s="1"/>
  <c r="A14" i="45"/>
  <c r="T12" i="45"/>
  <c r="R12" i="45"/>
  <c r="Q12" i="45"/>
  <c r="W12" i="45" s="1"/>
  <c r="A12" i="45"/>
  <c r="R11" i="45"/>
  <c r="T11" i="45" s="1"/>
  <c r="Q11" i="45"/>
  <c r="W11" i="45" s="1"/>
  <c r="A11" i="45"/>
  <c r="R10" i="45"/>
  <c r="T10" i="45" s="1"/>
  <c r="Q10" i="45"/>
  <c r="W10" i="45" s="1"/>
  <c r="A10" i="45"/>
  <c r="R9" i="45"/>
  <c r="T9" i="45" s="1"/>
  <c r="Q9" i="45"/>
  <c r="W9" i="45" s="1"/>
  <c r="A9" i="45"/>
  <c r="T7" i="45"/>
  <c r="R7" i="45"/>
  <c r="Q7" i="45"/>
  <c r="W7" i="45" s="1"/>
  <c r="A7" i="45"/>
  <c r="R6" i="45"/>
  <c r="T6" i="45" s="1"/>
  <c r="Q6" i="45"/>
  <c r="W6" i="45" s="1"/>
  <c r="A6" i="45"/>
  <c r="R5" i="45"/>
  <c r="Q5" i="45"/>
  <c r="W5" i="45" s="1"/>
  <c r="A5" i="45"/>
  <c r="I3" i="45"/>
  <c r="O3" i="45"/>
  <c r="P31" i="44"/>
  <c r="O31" i="44"/>
  <c r="N31" i="44"/>
  <c r="M31" i="44"/>
  <c r="L31" i="44"/>
  <c r="K31" i="44"/>
  <c r="J31" i="44"/>
  <c r="I31" i="44"/>
  <c r="H31" i="44"/>
  <c r="G31" i="44"/>
  <c r="F31" i="44"/>
  <c r="E31" i="44"/>
  <c r="D31" i="44"/>
  <c r="C31" i="44"/>
  <c r="T30" i="44"/>
  <c r="R30" i="44"/>
  <c r="Q30" i="44"/>
  <c r="W30" i="44" s="1"/>
  <c r="A30" i="44"/>
  <c r="R28" i="44"/>
  <c r="T28" i="44" s="1"/>
  <c r="Q28" i="44"/>
  <c r="W28" i="44" s="1"/>
  <c r="A28" i="44"/>
  <c r="R27" i="44"/>
  <c r="T27" i="44" s="1"/>
  <c r="Q27" i="44"/>
  <c r="W27" i="44" s="1"/>
  <c r="A27" i="44"/>
  <c r="R26" i="44"/>
  <c r="T26" i="44" s="1"/>
  <c r="Q26" i="44"/>
  <c r="W26" i="44" s="1"/>
  <c r="A26" i="44"/>
  <c r="R24" i="44"/>
  <c r="T24" i="44" s="1"/>
  <c r="Q24" i="44"/>
  <c r="W24" i="44" s="1"/>
  <c r="A24" i="44"/>
  <c r="R23" i="44"/>
  <c r="T23" i="44" s="1"/>
  <c r="Q23" i="44"/>
  <c r="W23" i="44" s="1"/>
  <c r="A23" i="44"/>
  <c r="R22" i="44"/>
  <c r="T22" i="44" s="1"/>
  <c r="Q22" i="44"/>
  <c r="W22" i="44" s="1"/>
  <c r="A22" i="44"/>
  <c r="T20" i="44"/>
  <c r="R20" i="44"/>
  <c r="Q20" i="44"/>
  <c r="W20" i="44" s="1"/>
  <c r="A20" i="44"/>
  <c r="P18" i="44"/>
  <c r="P33" i="44" s="1"/>
  <c r="D124" i="5" s="1"/>
  <c r="O18" i="44"/>
  <c r="O33" i="44" s="1"/>
  <c r="N18" i="44"/>
  <c r="N33" i="44" s="1"/>
  <c r="D123" i="5" s="1"/>
  <c r="M18" i="44"/>
  <c r="M33" i="44" s="1"/>
  <c r="L18" i="44"/>
  <c r="L33" i="44" s="1"/>
  <c r="D122" i="5" s="1"/>
  <c r="K18" i="44"/>
  <c r="K33" i="44" s="1"/>
  <c r="J18" i="44"/>
  <c r="J33" i="44" s="1"/>
  <c r="D121" i="5" s="1"/>
  <c r="I18" i="44"/>
  <c r="I33" i="44" s="1"/>
  <c r="H18" i="44"/>
  <c r="H33" i="44" s="1"/>
  <c r="D120" i="5" s="1"/>
  <c r="G18" i="44"/>
  <c r="G33" i="44" s="1"/>
  <c r="F18" i="44"/>
  <c r="F33" i="44" s="1"/>
  <c r="D119" i="5" s="1"/>
  <c r="E18" i="44"/>
  <c r="E33" i="44" s="1"/>
  <c r="D18" i="44"/>
  <c r="D33" i="44" s="1"/>
  <c r="D118" i="5" s="1"/>
  <c r="C18" i="44"/>
  <c r="C33" i="44" s="1"/>
  <c r="R17" i="44"/>
  <c r="T17" i="44" s="1"/>
  <c r="Q17" i="44"/>
  <c r="W17" i="44" s="1"/>
  <c r="A17" i="44"/>
  <c r="T15" i="44"/>
  <c r="R15" i="44"/>
  <c r="Q15" i="44"/>
  <c r="W15" i="44" s="1"/>
  <c r="A15" i="44"/>
  <c r="T14" i="44"/>
  <c r="R14" i="44"/>
  <c r="Q14" i="44"/>
  <c r="W14" i="44" s="1"/>
  <c r="A14" i="44"/>
  <c r="T12" i="44"/>
  <c r="R12" i="44"/>
  <c r="Q12" i="44"/>
  <c r="W12" i="44" s="1"/>
  <c r="A12" i="44"/>
  <c r="R11" i="44"/>
  <c r="T11" i="44" s="1"/>
  <c r="Q11" i="44"/>
  <c r="W11" i="44" s="1"/>
  <c r="A11" i="44"/>
  <c r="W10" i="44"/>
  <c r="R10" i="44"/>
  <c r="T10" i="44" s="1"/>
  <c r="Q10" i="44"/>
  <c r="A10" i="44"/>
  <c r="T9" i="44"/>
  <c r="R9" i="44"/>
  <c r="Q9" i="44"/>
  <c r="W9" i="44" s="1"/>
  <c r="A9" i="44"/>
  <c r="W7" i="44"/>
  <c r="R7" i="44"/>
  <c r="T7" i="44" s="1"/>
  <c r="Q7" i="44"/>
  <c r="A7" i="44"/>
  <c r="R6" i="44"/>
  <c r="Q6" i="44"/>
  <c r="A6" i="44"/>
  <c r="T5" i="44"/>
  <c r="R5" i="44"/>
  <c r="Q5" i="44"/>
  <c r="W5" i="44" s="1"/>
  <c r="A5" i="44"/>
  <c r="O3" i="44"/>
  <c r="P31" i="43"/>
  <c r="O31" i="43"/>
  <c r="N31" i="43"/>
  <c r="M31" i="43"/>
  <c r="L31" i="43"/>
  <c r="K31" i="43"/>
  <c r="J31" i="43"/>
  <c r="I31" i="43"/>
  <c r="H31" i="43"/>
  <c r="G31" i="43"/>
  <c r="F31" i="43"/>
  <c r="E31" i="43"/>
  <c r="D31" i="43"/>
  <c r="C31" i="43"/>
  <c r="W30" i="43"/>
  <c r="T30" i="43"/>
  <c r="R30" i="43"/>
  <c r="Q30" i="43"/>
  <c r="A30" i="43"/>
  <c r="R28" i="43"/>
  <c r="T28" i="43" s="1"/>
  <c r="Q28" i="43"/>
  <c r="W28" i="43" s="1"/>
  <c r="A28" i="43"/>
  <c r="R27" i="43"/>
  <c r="T27" i="43" s="1"/>
  <c r="Q27" i="43"/>
  <c r="W27" i="43" s="1"/>
  <c r="A27" i="43"/>
  <c r="R26" i="43"/>
  <c r="T26" i="43" s="1"/>
  <c r="Q26" i="43"/>
  <c r="W26" i="43" s="1"/>
  <c r="A26" i="43"/>
  <c r="R24" i="43"/>
  <c r="T24" i="43" s="1"/>
  <c r="Q24" i="43"/>
  <c r="W24" i="43" s="1"/>
  <c r="A24" i="43"/>
  <c r="R23" i="43"/>
  <c r="T23" i="43" s="1"/>
  <c r="Q23" i="43"/>
  <c r="W23" i="43" s="1"/>
  <c r="A23" i="43"/>
  <c r="R22" i="43"/>
  <c r="T22" i="43" s="1"/>
  <c r="Q22" i="43"/>
  <c r="W22" i="43" s="1"/>
  <c r="A22" i="43"/>
  <c r="R20" i="43"/>
  <c r="T20" i="43" s="1"/>
  <c r="Q20" i="43"/>
  <c r="W20" i="43" s="1"/>
  <c r="A20" i="43"/>
  <c r="P18" i="43"/>
  <c r="P33" i="43" s="1"/>
  <c r="D117" i="5" s="1"/>
  <c r="O18" i="43"/>
  <c r="O33" i="43" s="1"/>
  <c r="N18" i="43"/>
  <c r="N33" i="43" s="1"/>
  <c r="D116" i="5" s="1"/>
  <c r="M18" i="43"/>
  <c r="M33" i="43" s="1"/>
  <c r="L18" i="43"/>
  <c r="L33" i="43" s="1"/>
  <c r="D115" i="5" s="1"/>
  <c r="K18" i="43"/>
  <c r="K33" i="43" s="1"/>
  <c r="J18" i="43"/>
  <c r="J33" i="43" s="1"/>
  <c r="D114" i="5" s="1"/>
  <c r="I18" i="43"/>
  <c r="I33" i="43" s="1"/>
  <c r="H18" i="43"/>
  <c r="H33" i="43" s="1"/>
  <c r="D113" i="5" s="1"/>
  <c r="G18" i="43"/>
  <c r="G33" i="43" s="1"/>
  <c r="F18" i="43"/>
  <c r="F33" i="43" s="1"/>
  <c r="D112" i="5" s="1"/>
  <c r="E18" i="43"/>
  <c r="E33" i="43" s="1"/>
  <c r="D18" i="43"/>
  <c r="D33" i="43" s="1"/>
  <c r="D111" i="5" s="1"/>
  <c r="C18" i="43"/>
  <c r="C33" i="43" s="1"/>
  <c r="R17" i="43"/>
  <c r="T17" i="43" s="1"/>
  <c r="Q17" i="43"/>
  <c r="W17" i="43" s="1"/>
  <c r="A17" i="43"/>
  <c r="R15" i="43"/>
  <c r="T15" i="43" s="1"/>
  <c r="Q15" i="43"/>
  <c r="W15" i="43" s="1"/>
  <c r="A15" i="43"/>
  <c r="R14" i="43"/>
  <c r="T14" i="43" s="1"/>
  <c r="Q14" i="43"/>
  <c r="W14" i="43" s="1"/>
  <c r="A14" i="43"/>
  <c r="R12" i="43"/>
  <c r="T12" i="43" s="1"/>
  <c r="Q12" i="43"/>
  <c r="W12" i="43" s="1"/>
  <c r="A12" i="43"/>
  <c r="R11" i="43"/>
  <c r="T11" i="43" s="1"/>
  <c r="Q11" i="43"/>
  <c r="W11" i="43" s="1"/>
  <c r="A11" i="43"/>
  <c r="W10" i="43"/>
  <c r="T10" i="43"/>
  <c r="R10" i="43"/>
  <c r="Q10" i="43"/>
  <c r="A10" i="43"/>
  <c r="T9" i="43"/>
  <c r="R9" i="43"/>
  <c r="Q9" i="43"/>
  <c r="W9" i="43" s="1"/>
  <c r="A9" i="43"/>
  <c r="W7" i="43"/>
  <c r="R7" i="43"/>
  <c r="T7" i="43" s="1"/>
  <c r="Q7" i="43"/>
  <c r="A7" i="43"/>
  <c r="T6" i="43"/>
  <c r="R6" i="43"/>
  <c r="Q6" i="43"/>
  <c r="W6" i="43" s="1"/>
  <c r="A6" i="43"/>
  <c r="R5" i="43"/>
  <c r="Q5" i="43"/>
  <c r="W5" i="43" s="1"/>
  <c r="A5" i="43"/>
  <c r="O3" i="43"/>
  <c r="P31" i="42"/>
  <c r="O31" i="42"/>
  <c r="N31" i="42"/>
  <c r="M31" i="42"/>
  <c r="L31" i="42"/>
  <c r="K31" i="42"/>
  <c r="J31" i="42"/>
  <c r="I31" i="42"/>
  <c r="H31" i="42"/>
  <c r="G31" i="42"/>
  <c r="F31" i="42"/>
  <c r="E31" i="42"/>
  <c r="D31" i="42"/>
  <c r="C31" i="42"/>
  <c r="R30" i="42"/>
  <c r="T30" i="42" s="1"/>
  <c r="Q30" i="42"/>
  <c r="W30" i="42" s="1"/>
  <c r="A30" i="42"/>
  <c r="T28" i="42"/>
  <c r="R28" i="42"/>
  <c r="Q28" i="42"/>
  <c r="W28" i="42" s="1"/>
  <c r="A28" i="42"/>
  <c r="W27" i="42"/>
  <c r="R27" i="42"/>
  <c r="T27" i="42" s="1"/>
  <c r="Q27" i="42"/>
  <c r="A27" i="42"/>
  <c r="R26" i="42"/>
  <c r="T26" i="42" s="1"/>
  <c r="Q26" i="42"/>
  <c r="W26" i="42" s="1"/>
  <c r="A26" i="42"/>
  <c r="R24" i="42"/>
  <c r="T24" i="42" s="1"/>
  <c r="Q24" i="42"/>
  <c r="W24" i="42" s="1"/>
  <c r="A24" i="42"/>
  <c r="R23" i="42"/>
  <c r="T23" i="42" s="1"/>
  <c r="Q23" i="42"/>
  <c r="W23" i="42" s="1"/>
  <c r="A23" i="42"/>
  <c r="R22" i="42"/>
  <c r="T22" i="42" s="1"/>
  <c r="Q22" i="42"/>
  <c r="W22" i="42" s="1"/>
  <c r="A22" i="42"/>
  <c r="W20" i="42"/>
  <c r="R20" i="42"/>
  <c r="T20" i="42" s="1"/>
  <c r="Q20" i="42"/>
  <c r="A20" i="42"/>
  <c r="P18" i="42"/>
  <c r="P33" i="42" s="1"/>
  <c r="D110" i="5" s="1"/>
  <c r="O18" i="42"/>
  <c r="O33" i="42" s="1"/>
  <c r="N18" i="42"/>
  <c r="N33" i="42" s="1"/>
  <c r="D109" i="5" s="1"/>
  <c r="M18" i="42"/>
  <c r="M33" i="42" s="1"/>
  <c r="L18" i="42"/>
  <c r="L33" i="42" s="1"/>
  <c r="K18" i="42"/>
  <c r="K33" i="42" s="1"/>
  <c r="J18" i="42"/>
  <c r="J33" i="42" s="1"/>
  <c r="T101" i="5" s="1"/>
  <c r="I18" i="42"/>
  <c r="I33" i="42" s="1"/>
  <c r="H18" i="42"/>
  <c r="H33" i="42" s="1"/>
  <c r="T100" i="5" s="1"/>
  <c r="G18" i="42"/>
  <c r="G33" i="42" s="1"/>
  <c r="F18" i="42"/>
  <c r="F33" i="42" s="1"/>
  <c r="T99" i="5" s="1"/>
  <c r="E18" i="42"/>
  <c r="E33" i="42" s="1"/>
  <c r="D18" i="42"/>
  <c r="D33" i="42" s="1"/>
  <c r="C18" i="42"/>
  <c r="C33" i="42" s="1"/>
  <c r="R17" i="42"/>
  <c r="T17" i="42" s="1"/>
  <c r="Q17" i="42"/>
  <c r="W17" i="42" s="1"/>
  <c r="A17" i="42"/>
  <c r="R15" i="42"/>
  <c r="T15" i="42" s="1"/>
  <c r="Q15" i="42"/>
  <c r="W15" i="42" s="1"/>
  <c r="A15" i="42"/>
  <c r="R14" i="42"/>
  <c r="T14" i="42" s="1"/>
  <c r="Q14" i="42"/>
  <c r="W14" i="42" s="1"/>
  <c r="A14" i="42"/>
  <c r="R12" i="42"/>
  <c r="T12" i="42" s="1"/>
  <c r="Q12" i="42"/>
  <c r="W12" i="42" s="1"/>
  <c r="A12" i="42"/>
  <c r="W11" i="42"/>
  <c r="R11" i="42"/>
  <c r="T11" i="42" s="1"/>
  <c r="Q11" i="42"/>
  <c r="A11" i="42"/>
  <c r="W10" i="42"/>
  <c r="R10" i="42"/>
  <c r="T10" i="42" s="1"/>
  <c r="Q10" i="42"/>
  <c r="A10" i="42"/>
  <c r="R9" i="42"/>
  <c r="T9" i="42" s="1"/>
  <c r="Q9" i="42"/>
  <c r="W9" i="42" s="1"/>
  <c r="A9" i="42"/>
  <c r="R7" i="42"/>
  <c r="T7" i="42" s="1"/>
  <c r="Q7" i="42"/>
  <c r="W7" i="42" s="1"/>
  <c r="A7" i="42"/>
  <c r="R6" i="42"/>
  <c r="T6" i="42" s="1"/>
  <c r="Q6" i="42"/>
  <c r="W6" i="42" s="1"/>
  <c r="A6" i="42"/>
  <c r="R5" i="42"/>
  <c r="R18" i="42" s="1"/>
  <c r="Q5" i="42"/>
  <c r="W5" i="42" s="1"/>
  <c r="A5" i="42"/>
  <c r="O3" i="42"/>
  <c r="P31" i="41"/>
  <c r="O31" i="41"/>
  <c r="N31" i="41"/>
  <c r="M31" i="41"/>
  <c r="L31" i="41"/>
  <c r="K31" i="41"/>
  <c r="J31" i="41"/>
  <c r="I31" i="41"/>
  <c r="H31" i="41"/>
  <c r="G31" i="41"/>
  <c r="F31" i="41"/>
  <c r="E31" i="41"/>
  <c r="D31" i="41"/>
  <c r="C31" i="41"/>
  <c r="R30" i="41"/>
  <c r="T30" i="41" s="1"/>
  <c r="Q30" i="41"/>
  <c r="W30" i="41" s="1"/>
  <c r="A30" i="41"/>
  <c r="T28" i="41"/>
  <c r="R28" i="41"/>
  <c r="Q28" i="41"/>
  <c r="W28" i="41" s="1"/>
  <c r="A28" i="41"/>
  <c r="W27" i="41"/>
  <c r="R27" i="41"/>
  <c r="T27" i="41" s="1"/>
  <c r="Q27" i="41"/>
  <c r="A27" i="41"/>
  <c r="T26" i="41"/>
  <c r="R26" i="41"/>
  <c r="Q26" i="41"/>
  <c r="W26" i="41" s="1"/>
  <c r="A26" i="41"/>
  <c r="T24" i="41"/>
  <c r="R24" i="41"/>
  <c r="Q24" i="41"/>
  <c r="W24" i="41" s="1"/>
  <c r="A24" i="41"/>
  <c r="W23" i="41"/>
  <c r="R23" i="41"/>
  <c r="T23" i="41" s="1"/>
  <c r="Q23" i="41"/>
  <c r="A23" i="41"/>
  <c r="R22" i="41"/>
  <c r="T22" i="41" s="1"/>
  <c r="Q22" i="41"/>
  <c r="W22" i="41" s="1"/>
  <c r="A22" i="41"/>
  <c r="R20" i="41"/>
  <c r="T20" i="41" s="1"/>
  <c r="Q20" i="41"/>
  <c r="W20" i="41" s="1"/>
  <c r="A20" i="41"/>
  <c r="P18" i="41"/>
  <c r="P33" i="41" s="1"/>
  <c r="T97" i="5" s="1"/>
  <c r="O18" i="41"/>
  <c r="O33" i="41" s="1"/>
  <c r="N18" i="41"/>
  <c r="N33" i="41" s="1"/>
  <c r="T96" i="5" s="1"/>
  <c r="M18" i="41"/>
  <c r="M33" i="41" s="1"/>
  <c r="L18" i="41"/>
  <c r="L33" i="41" s="1"/>
  <c r="T95" i="5" s="1"/>
  <c r="K18" i="41"/>
  <c r="K33" i="41" s="1"/>
  <c r="J18" i="41"/>
  <c r="J33" i="41" s="1"/>
  <c r="T94" i="5" s="1"/>
  <c r="I18" i="41"/>
  <c r="I33" i="41" s="1"/>
  <c r="H18" i="41"/>
  <c r="H33" i="41" s="1"/>
  <c r="T93" i="5" s="1"/>
  <c r="G18" i="41"/>
  <c r="G33" i="41" s="1"/>
  <c r="F18" i="41"/>
  <c r="F33" i="41" s="1"/>
  <c r="T92" i="5" s="1"/>
  <c r="E18" i="41"/>
  <c r="E33" i="41" s="1"/>
  <c r="D18" i="41"/>
  <c r="D33" i="41" s="1"/>
  <c r="T98" i="5" s="1"/>
  <c r="C18" i="41"/>
  <c r="C33" i="41" s="1"/>
  <c r="R17" i="41"/>
  <c r="T17" i="41" s="1"/>
  <c r="Q17" i="41"/>
  <c r="W17" i="41" s="1"/>
  <c r="A17" i="41"/>
  <c r="R15" i="41"/>
  <c r="T15" i="41" s="1"/>
  <c r="Q15" i="41"/>
  <c r="W15" i="41" s="1"/>
  <c r="A15" i="41"/>
  <c r="R14" i="41"/>
  <c r="T14" i="41" s="1"/>
  <c r="Q14" i="41"/>
  <c r="W14" i="41" s="1"/>
  <c r="A14" i="41"/>
  <c r="T12" i="41"/>
  <c r="R12" i="41"/>
  <c r="Q12" i="41"/>
  <c r="W12" i="41" s="1"/>
  <c r="A12" i="41"/>
  <c r="W11" i="41"/>
  <c r="R11" i="41"/>
  <c r="T11" i="41" s="1"/>
  <c r="Q11" i="41"/>
  <c r="A11" i="41"/>
  <c r="W10" i="41"/>
  <c r="R10" i="41"/>
  <c r="T10" i="41" s="1"/>
  <c r="Q10" i="41"/>
  <c r="A10" i="41"/>
  <c r="R9" i="41"/>
  <c r="T9" i="41" s="1"/>
  <c r="Q9" i="41"/>
  <c r="W9" i="41" s="1"/>
  <c r="A9" i="41"/>
  <c r="T7" i="41"/>
  <c r="R7" i="41"/>
  <c r="Q7" i="41"/>
  <c r="W7" i="41" s="1"/>
  <c r="A7" i="41"/>
  <c r="R6" i="41"/>
  <c r="T6" i="41" s="1"/>
  <c r="Q6" i="41"/>
  <c r="W6" i="41" s="1"/>
  <c r="A6" i="41"/>
  <c r="R5" i="41"/>
  <c r="R18" i="41" s="1"/>
  <c r="Q5" i="41"/>
  <c r="W5" i="41" s="1"/>
  <c r="A5" i="41"/>
  <c r="O3" i="41"/>
  <c r="P31" i="40"/>
  <c r="O31" i="40"/>
  <c r="N31" i="40"/>
  <c r="M31" i="40"/>
  <c r="L31" i="40"/>
  <c r="K31" i="40"/>
  <c r="J31" i="40"/>
  <c r="I31" i="40"/>
  <c r="H31" i="40"/>
  <c r="G31" i="40"/>
  <c r="F31" i="40"/>
  <c r="E31" i="40"/>
  <c r="D31" i="40"/>
  <c r="C31" i="40"/>
  <c r="R30" i="40"/>
  <c r="T30" i="40" s="1"/>
  <c r="Q30" i="40"/>
  <c r="W30" i="40" s="1"/>
  <c r="A30" i="40"/>
  <c r="R28" i="40"/>
  <c r="T28" i="40" s="1"/>
  <c r="Q28" i="40"/>
  <c r="W28" i="40" s="1"/>
  <c r="A28" i="40"/>
  <c r="R27" i="40"/>
  <c r="T27" i="40" s="1"/>
  <c r="Q27" i="40"/>
  <c r="W27" i="40" s="1"/>
  <c r="A27" i="40"/>
  <c r="R26" i="40"/>
  <c r="T26" i="40" s="1"/>
  <c r="Q26" i="40"/>
  <c r="W26" i="40" s="1"/>
  <c r="A26" i="40"/>
  <c r="R24" i="40"/>
  <c r="T24" i="40" s="1"/>
  <c r="Q24" i="40"/>
  <c r="W24" i="40" s="1"/>
  <c r="A24" i="40"/>
  <c r="R23" i="40"/>
  <c r="T23" i="40" s="1"/>
  <c r="Q23" i="40"/>
  <c r="W23" i="40" s="1"/>
  <c r="A23" i="40"/>
  <c r="R22" i="40"/>
  <c r="T22" i="40" s="1"/>
  <c r="Q22" i="40"/>
  <c r="W22" i="40" s="1"/>
  <c r="A22" i="40"/>
  <c r="R20" i="40"/>
  <c r="T20" i="40" s="1"/>
  <c r="Q20" i="40"/>
  <c r="W20" i="40" s="1"/>
  <c r="A20" i="40"/>
  <c r="P18" i="40"/>
  <c r="P33" i="40" s="1"/>
  <c r="T90" i="5" s="1"/>
  <c r="O18" i="40"/>
  <c r="O33" i="40" s="1"/>
  <c r="N18" i="40"/>
  <c r="N33" i="40" s="1"/>
  <c r="T89" i="5" s="1"/>
  <c r="M18" i="40"/>
  <c r="M33" i="40" s="1"/>
  <c r="L18" i="40"/>
  <c r="L33" i="40" s="1"/>
  <c r="T88" i="5" s="1"/>
  <c r="K18" i="40"/>
  <c r="K33" i="40" s="1"/>
  <c r="J18" i="40"/>
  <c r="J33" i="40" s="1"/>
  <c r="T87" i="5" s="1"/>
  <c r="I18" i="40"/>
  <c r="I33" i="40" s="1"/>
  <c r="H18" i="40"/>
  <c r="H33" i="40" s="1"/>
  <c r="T86" i="5" s="1"/>
  <c r="G18" i="40"/>
  <c r="G33" i="40" s="1"/>
  <c r="F18" i="40"/>
  <c r="F33" i="40" s="1"/>
  <c r="T85" i="5" s="1"/>
  <c r="E18" i="40"/>
  <c r="E33" i="40" s="1"/>
  <c r="D18" i="40"/>
  <c r="D33" i="40" s="1"/>
  <c r="T91" i="5" s="1"/>
  <c r="C18" i="40"/>
  <c r="C33" i="40" s="1"/>
  <c r="R17" i="40"/>
  <c r="T17" i="40" s="1"/>
  <c r="Q17" i="40"/>
  <c r="W17" i="40" s="1"/>
  <c r="A17" i="40"/>
  <c r="R15" i="40"/>
  <c r="T15" i="40" s="1"/>
  <c r="Q15" i="40"/>
  <c r="W15" i="40" s="1"/>
  <c r="A15" i="40"/>
  <c r="W14" i="40"/>
  <c r="T14" i="40"/>
  <c r="R14" i="40"/>
  <c r="Q14" i="40"/>
  <c r="A14" i="40"/>
  <c r="T12" i="40"/>
  <c r="R12" i="40"/>
  <c r="Q12" i="40"/>
  <c r="W12" i="40" s="1"/>
  <c r="A12" i="40"/>
  <c r="R11" i="40"/>
  <c r="T11" i="40" s="1"/>
  <c r="Q11" i="40"/>
  <c r="W11" i="40" s="1"/>
  <c r="A11" i="40"/>
  <c r="R10" i="40"/>
  <c r="T10" i="40" s="1"/>
  <c r="Q10" i="40"/>
  <c r="W10" i="40" s="1"/>
  <c r="A10" i="40"/>
  <c r="R9" i="40"/>
  <c r="T9" i="40" s="1"/>
  <c r="Q9" i="40"/>
  <c r="W9" i="40" s="1"/>
  <c r="A9" i="40"/>
  <c r="T7" i="40"/>
  <c r="R7" i="40"/>
  <c r="Q7" i="40"/>
  <c r="W7" i="40" s="1"/>
  <c r="A7" i="40"/>
  <c r="W6" i="40"/>
  <c r="R6" i="40"/>
  <c r="Q6" i="40"/>
  <c r="A6" i="40"/>
  <c r="R5" i="40"/>
  <c r="T5" i="40" s="1"/>
  <c r="Q5" i="40"/>
  <c r="W5" i="40" s="1"/>
  <c r="A5" i="40"/>
  <c r="O3" i="40"/>
  <c r="P31" i="39"/>
  <c r="O31" i="39"/>
  <c r="N31" i="39"/>
  <c r="M31" i="39"/>
  <c r="L31" i="39"/>
  <c r="K31" i="39"/>
  <c r="J31" i="39"/>
  <c r="I31" i="39"/>
  <c r="H31" i="39"/>
  <c r="G31" i="39"/>
  <c r="F31" i="39"/>
  <c r="E31" i="39"/>
  <c r="D31" i="39"/>
  <c r="C31" i="39"/>
  <c r="T30" i="39"/>
  <c r="R30" i="39"/>
  <c r="Q30" i="39"/>
  <c r="W30" i="39" s="1"/>
  <c r="A30" i="39"/>
  <c r="W28" i="39"/>
  <c r="R28" i="39"/>
  <c r="T28" i="39" s="1"/>
  <c r="Q28" i="39"/>
  <c r="A28" i="39"/>
  <c r="R27" i="39"/>
  <c r="T27" i="39" s="1"/>
  <c r="Q27" i="39"/>
  <c r="W27" i="39" s="1"/>
  <c r="A27" i="39"/>
  <c r="R26" i="39"/>
  <c r="T26" i="39" s="1"/>
  <c r="Q26" i="39"/>
  <c r="W26" i="39" s="1"/>
  <c r="A26" i="39"/>
  <c r="R24" i="39"/>
  <c r="T24" i="39" s="1"/>
  <c r="Q24" i="39"/>
  <c r="W24" i="39" s="1"/>
  <c r="A24" i="39"/>
  <c r="R23" i="39"/>
  <c r="T23" i="39" s="1"/>
  <c r="Q23" i="39"/>
  <c r="W23" i="39" s="1"/>
  <c r="A23" i="39"/>
  <c r="R22" i="39"/>
  <c r="T22" i="39" s="1"/>
  <c r="Q22" i="39"/>
  <c r="W22" i="39" s="1"/>
  <c r="A22" i="39"/>
  <c r="R20" i="39"/>
  <c r="T20" i="39" s="1"/>
  <c r="Q20" i="39"/>
  <c r="W20" i="39" s="1"/>
  <c r="A20" i="39"/>
  <c r="P18" i="39"/>
  <c r="P33" i="39" s="1"/>
  <c r="T83" i="5" s="1"/>
  <c r="O18" i="39"/>
  <c r="O33" i="39" s="1"/>
  <c r="N18" i="39"/>
  <c r="N33" i="39" s="1"/>
  <c r="T82" i="5" s="1"/>
  <c r="M18" i="39"/>
  <c r="M33" i="39" s="1"/>
  <c r="L18" i="39"/>
  <c r="L33" i="39" s="1"/>
  <c r="T81" i="5" s="1"/>
  <c r="K18" i="39"/>
  <c r="K33" i="39" s="1"/>
  <c r="J18" i="39"/>
  <c r="J33" i="39" s="1"/>
  <c r="T80" i="5" s="1"/>
  <c r="I18" i="39"/>
  <c r="I33" i="39" s="1"/>
  <c r="H18" i="39"/>
  <c r="H33" i="39" s="1"/>
  <c r="T79" i="5" s="1"/>
  <c r="G18" i="39"/>
  <c r="G33" i="39" s="1"/>
  <c r="F18" i="39"/>
  <c r="F33" i="39" s="1"/>
  <c r="T78" i="5" s="1"/>
  <c r="E18" i="39"/>
  <c r="E33" i="39" s="1"/>
  <c r="D18" i="39"/>
  <c r="D33" i="39" s="1"/>
  <c r="T84" i="5" s="1"/>
  <c r="C18" i="39"/>
  <c r="C33" i="39" s="1"/>
  <c r="R17" i="39"/>
  <c r="T17" i="39" s="1"/>
  <c r="Q17" i="39"/>
  <c r="W17" i="39" s="1"/>
  <c r="A17" i="39"/>
  <c r="R15" i="39"/>
  <c r="T15" i="39" s="1"/>
  <c r="Q15" i="39"/>
  <c r="W15" i="39" s="1"/>
  <c r="A15" i="39"/>
  <c r="R14" i="39"/>
  <c r="T14" i="39" s="1"/>
  <c r="Q14" i="39"/>
  <c r="W14" i="39" s="1"/>
  <c r="A14" i="39"/>
  <c r="W12" i="39"/>
  <c r="R12" i="39"/>
  <c r="T12" i="39" s="1"/>
  <c r="Q12" i="39"/>
  <c r="A12" i="39"/>
  <c r="T11" i="39"/>
  <c r="R11" i="39"/>
  <c r="Q11" i="39"/>
  <c r="W11" i="39" s="1"/>
  <c r="A11" i="39"/>
  <c r="R10" i="39"/>
  <c r="T10" i="39" s="1"/>
  <c r="Q10" i="39"/>
  <c r="W10" i="39" s="1"/>
  <c r="A10" i="39"/>
  <c r="R9" i="39"/>
  <c r="T9" i="39" s="1"/>
  <c r="Q9" i="39"/>
  <c r="W9" i="39" s="1"/>
  <c r="A9" i="39"/>
  <c r="R7" i="39"/>
  <c r="T7" i="39" s="1"/>
  <c r="Q7" i="39"/>
  <c r="W7" i="39" s="1"/>
  <c r="A7" i="39"/>
  <c r="R6" i="39"/>
  <c r="T6" i="39" s="1"/>
  <c r="Q6" i="39"/>
  <c r="W6" i="39" s="1"/>
  <c r="A6" i="39"/>
  <c r="R5" i="39"/>
  <c r="R18" i="39" s="1"/>
  <c r="Q5" i="39"/>
  <c r="W5" i="39" s="1"/>
  <c r="A5" i="39"/>
  <c r="O3" i="39"/>
  <c r="P31" i="38"/>
  <c r="O31" i="38"/>
  <c r="N31" i="38"/>
  <c r="M31" i="38"/>
  <c r="L31" i="38"/>
  <c r="K31" i="38"/>
  <c r="J31" i="38"/>
  <c r="I31" i="38"/>
  <c r="H31" i="38"/>
  <c r="G31" i="38"/>
  <c r="F31" i="38"/>
  <c r="E31" i="38"/>
  <c r="D31" i="38"/>
  <c r="C31" i="38"/>
  <c r="R30" i="38"/>
  <c r="T30" i="38" s="1"/>
  <c r="Q30" i="38"/>
  <c r="W30" i="38" s="1"/>
  <c r="A30" i="38"/>
  <c r="T28" i="38"/>
  <c r="R28" i="38"/>
  <c r="Q28" i="38"/>
  <c r="W28" i="38" s="1"/>
  <c r="A28" i="38"/>
  <c r="R27" i="38"/>
  <c r="T27" i="38" s="1"/>
  <c r="Q27" i="38"/>
  <c r="W27" i="38" s="1"/>
  <c r="A27" i="38"/>
  <c r="R26" i="38"/>
  <c r="T26" i="38" s="1"/>
  <c r="Q26" i="38"/>
  <c r="W26" i="38" s="1"/>
  <c r="A26" i="38"/>
  <c r="R24" i="38"/>
  <c r="T24" i="38" s="1"/>
  <c r="Q24" i="38"/>
  <c r="W24" i="38" s="1"/>
  <c r="A24" i="38"/>
  <c r="R23" i="38"/>
  <c r="T23" i="38" s="1"/>
  <c r="Q23" i="38"/>
  <c r="W23" i="38" s="1"/>
  <c r="A23" i="38"/>
  <c r="R22" i="38"/>
  <c r="T22" i="38" s="1"/>
  <c r="Q22" i="38"/>
  <c r="W22" i="38" s="1"/>
  <c r="A22" i="38"/>
  <c r="R20" i="38"/>
  <c r="T20" i="38" s="1"/>
  <c r="Q20" i="38"/>
  <c r="W20" i="38" s="1"/>
  <c r="A20" i="38"/>
  <c r="P18" i="38"/>
  <c r="P33" i="38" s="1"/>
  <c r="T76" i="5" s="1"/>
  <c r="O18" i="38"/>
  <c r="O33" i="38" s="1"/>
  <c r="N18" i="38"/>
  <c r="N33" i="38" s="1"/>
  <c r="T75" i="5" s="1"/>
  <c r="M18" i="38"/>
  <c r="M33" i="38" s="1"/>
  <c r="L18" i="38"/>
  <c r="L33" i="38" s="1"/>
  <c r="T74" i="5" s="1"/>
  <c r="K18" i="38"/>
  <c r="K33" i="38" s="1"/>
  <c r="J18" i="38"/>
  <c r="J33" i="38" s="1"/>
  <c r="T73" i="5" s="1"/>
  <c r="I18" i="38"/>
  <c r="I33" i="38" s="1"/>
  <c r="H18" i="38"/>
  <c r="H33" i="38" s="1"/>
  <c r="L103" i="5" s="1"/>
  <c r="G18" i="38"/>
  <c r="G33" i="38" s="1"/>
  <c r="F18" i="38"/>
  <c r="F33" i="38" s="1"/>
  <c r="L102" i="5" s="1"/>
  <c r="E18" i="38"/>
  <c r="E33" i="38" s="1"/>
  <c r="D18" i="38"/>
  <c r="D33" i="38" s="1"/>
  <c r="T77" i="5" s="1"/>
  <c r="C18" i="38"/>
  <c r="C33" i="38" s="1"/>
  <c r="R17" i="38"/>
  <c r="T17" i="38" s="1"/>
  <c r="Q17" i="38"/>
  <c r="W17" i="38" s="1"/>
  <c r="A17" i="38"/>
  <c r="R15" i="38"/>
  <c r="T15" i="38" s="1"/>
  <c r="Q15" i="38"/>
  <c r="W15" i="38" s="1"/>
  <c r="A15" i="38"/>
  <c r="R14" i="38"/>
  <c r="T14" i="38" s="1"/>
  <c r="Q14" i="38"/>
  <c r="W14" i="38" s="1"/>
  <c r="A14" i="38"/>
  <c r="R12" i="38"/>
  <c r="T12" i="38" s="1"/>
  <c r="Q12" i="38"/>
  <c r="W12" i="38" s="1"/>
  <c r="A12" i="38"/>
  <c r="R11" i="38"/>
  <c r="T11" i="38" s="1"/>
  <c r="Q11" i="38"/>
  <c r="W11" i="38" s="1"/>
  <c r="A11" i="38"/>
  <c r="W10" i="38"/>
  <c r="R10" i="38"/>
  <c r="T10" i="38" s="1"/>
  <c r="Q10" i="38"/>
  <c r="A10" i="38"/>
  <c r="R9" i="38"/>
  <c r="T9" i="38" s="1"/>
  <c r="Q9" i="38"/>
  <c r="W9" i="38" s="1"/>
  <c r="A9" i="38"/>
  <c r="R7" i="38"/>
  <c r="T7" i="38" s="1"/>
  <c r="Q7" i="38"/>
  <c r="W7" i="38" s="1"/>
  <c r="A7" i="38"/>
  <c r="R6" i="38"/>
  <c r="T6" i="38" s="1"/>
  <c r="Q6" i="38"/>
  <c r="W6" i="38" s="1"/>
  <c r="A6" i="38"/>
  <c r="R5" i="38"/>
  <c r="R18" i="38" s="1"/>
  <c r="Q5" i="38"/>
  <c r="W5" i="38" s="1"/>
  <c r="A5" i="38"/>
  <c r="O3" i="38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R30" i="37"/>
  <c r="T30" i="37" s="1"/>
  <c r="Q30" i="37"/>
  <c r="W30" i="37" s="1"/>
  <c r="A30" i="37"/>
  <c r="R28" i="37"/>
  <c r="T28" i="37" s="1"/>
  <c r="Q28" i="37"/>
  <c r="W28" i="37" s="1"/>
  <c r="A28" i="37"/>
  <c r="W27" i="37"/>
  <c r="R27" i="37"/>
  <c r="T27" i="37" s="1"/>
  <c r="Q27" i="37"/>
  <c r="A27" i="37"/>
  <c r="R26" i="37"/>
  <c r="T26" i="37" s="1"/>
  <c r="Q26" i="37"/>
  <c r="W26" i="37" s="1"/>
  <c r="A26" i="37"/>
  <c r="R24" i="37"/>
  <c r="T24" i="37" s="1"/>
  <c r="Q24" i="37"/>
  <c r="W24" i="37" s="1"/>
  <c r="A24" i="37"/>
  <c r="R23" i="37"/>
  <c r="T23" i="37" s="1"/>
  <c r="Q23" i="37"/>
  <c r="W23" i="37" s="1"/>
  <c r="A23" i="37"/>
  <c r="R22" i="37"/>
  <c r="T22" i="37" s="1"/>
  <c r="Q22" i="37"/>
  <c r="W22" i="37" s="1"/>
  <c r="A22" i="37"/>
  <c r="R20" i="37"/>
  <c r="T20" i="37" s="1"/>
  <c r="Q20" i="37"/>
  <c r="W20" i="37" s="1"/>
  <c r="A20" i="37"/>
  <c r="P18" i="37"/>
  <c r="P33" i="37" s="1"/>
  <c r="L100" i="5" s="1"/>
  <c r="O18" i="37"/>
  <c r="O33" i="37" s="1"/>
  <c r="N18" i="37"/>
  <c r="N33" i="37" s="1"/>
  <c r="L99" i="5" s="1"/>
  <c r="M18" i="37"/>
  <c r="M33" i="37" s="1"/>
  <c r="L18" i="37"/>
  <c r="L33" i="37" s="1"/>
  <c r="L98" i="5" s="1"/>
  <c r="K18" i="37"/>
  <c r="K33" i="37" s="1"/>
  <c r="J18" i="37"/>
  <c r="J33" i="37" s="1"/>
  <c r="L97" i="5" s="1"/>
  <c r="I18" i="37"/>
  <c r="I33" i="37" s="1"/>
  <c r="H18" i="37"/>
  <c r="H33" i="37" s="1"/>
  <c r="L96" i="5" s="1"/>
  <c r="G18" i="37"/>
  <c r="G33" i="37" s="1"/>
  <c r="F18" i="37"/>
  <c r="F33" i="37" s="1"/>
  <c r="L95" i="5" s="1"/>
  <c r="E18" i="37"/>
  <c r="E33" i="37" s="1"/>
  <c r="D18" i="37"/>
  <c r="D33" i="37" s="1"/>
  <c r="L101" i="5" s="1"/>
  <c r="C18" i="37"/>
  <c r="C33" i="37" s="1"/>
  <c r="R17" i="37"/>
  <c r="T17" i="37" s="1"/>
  <c r="Q17" i="37"/>
  <c r="W17" i="37" s="1"/>
  <c r="A17" i="37"/>
  <c r="R15" i="37"/>
  <c r="T15" i="37" s="1"/>
  <c r="Q15" i="37"/>
  <c r="W15" i="37" s="1"/>
  <c r="A15" i="37"/>
  <c r="R14" i="37"/>
  <c r="T14" i="37" s="1"/>
  <c r="Q14" i="37"/>
  <c r="W14" i="37" s="1"/>
  <c r="A14" i="37"/>
  <c r="R12" i="37"/>
  <c r="T12" i="37" s="1"/>
  <c r="Q12" i="37"/>
  <c r="W12" i="37" s="1"/>
  <c r="A12" i="37"/>
  <c r="R11" i="37"/>
  <c r="T11" i="37" s="1"/>
  <c r="Q11" i="37"/>
  <c r="W11" i="37" s="1"/>
  <c r="A11" i="37"/>
  <c r="R10" i="37"/>
  <c r="T10" i="37" s="1"/>
  <c r="Q10" i="37"/>
  <c r="W10" i="37" s="1"/>
  <c r="A10" i="37"/>
  <c r="R9" i="37"/>
  <c r="T9" i="37" s="1"/>
  <c r="Q9" i="37"/>
  <c r="W9" i="37" s="1"/>
  <c r="A9" i="37"/>
  <c r="R7" i="37"/>
  <c r="T7" i="37" s="1"/>
  <c r="Q7" i="37"/>
  <c r="W7" i="37" s="1"/>
  <c r="A7" i="37"/>
  <c r="R6" i="37"/>
  <c r="T6" i="37" s="1"/>
  <c r="Q6" i="37"/>
  <c r="W6" i="37" s="1"/>
  <c r="A6" i="37"/>
  <c r="R5" i="37"/>
  <c r="Q5" i="37"/>
  <c r="W5" i="37" s="1"/>
  <c r="A5" i="37"/>
  <c r="I3" i="37"/>
  <c r="O3" i="37"/>
  <c r="P31" i="36"/>
  <c r="O31" i="36"/>
  <c r="N31" i="36"/>
  <c r="M31" i="36"/>
  <c r="L31" i="36"/>
  <c r="K31" i="36"/>
  <c r="J31" i="36"/>
  <c r="I31" i="36"/>
  <c r="H31" i="36"/>
  <c r="G31" i="36"/>
  <c r="F31" i="36"/>
  <c r="E31" i="36"/>
  <c r="D31" i="36"/>
  <c r="C31" i="36"/>
  <c r="R30" i="36"/>
  <c r="T30" i="36" s="1"/>
  <c r="Q30" i="36"/>
  <c r="W30" i="36" s="1"/>
  <c r="A30" i="36"/>
  <c r="R28" i="36"/>
  <c r="T28" i="36" s="1"/>
  <c r="Q28" i="36"/>
  <c r="W28" i="36" s="1"/>
  <c r="A28" i="36"/>
  <c r="R27" i="36"/>
  <c r="T27" i="36" s="1"/>
  <c r="Q27" i="36"/>
  <c r="W27" i="36" s="1"/>
  <c r="A27" i="36"/>
  <c r="R26" i="36"/>
  <c r="T26" i="36" s="1"/>
  <c r="Q26" i="36"/>
  <c r="W26" i="36" s="1"/>
  <c r="A26" i="36"/>
  <c r="R24" i="36"/>
  <c r="T24" i="36" s="1"/>
  <c r="Q24" i="36"/>
  <c r="W24" i="36" s="1"/>
  <c r="A24" i="36"/>
  <c r="R23" i="36"/>
  <c r="T23" i="36" s="1"/>
  <c r="Q23" i="36"/>
  <c r="W23" i="36" s="1"/>
  <c r="A23" i="36"/>
  <c r="R22" i="36"/>
  <c r="T22" i="36" s="1"/>
  <c r="Q22" i="36"/>
  <c r="W22" i="36" s="1"/>
  <c r="A22" i="36"/>
  <c r="R20" i="36"/>
  <c r="T20" i="36" s="1"/>
  <c r="Q20" i="36"/>
  <c r="W20" i="36" s="1"/>
  <c r="A20" i="36"/>
  <c r="P18" i="36"/>
  <c r="P33" i="36" s="1"/>
  <c r="L93" i="5" s="1"/>
  <c r="O18" i="36"/>
  <c r="O33" i="36" s="1"/>
  <c r="N18" i="36"/>
  <c r="N33" i="36" s="1"/>
  <c r="L92" i="5" s="1"/>
  <c r="M18" i="36"/>
  <c r="M33" i="36" s="1"/>
  <c r="L18" i="36"/>
  <c r="L33" i="36" s="1"/>
  <c r="L91" i="5" s="1"/>
  <c r="K18" i="36"/>
  <c r="K33" i="36" s="1"/>
  <c r="J18" i="36"/>
  <c r="J33" i="36" s="1"/>
  <c r="L90" i="5" s="1"/>
  <c r="I18" i="36"/>
  <c r="I33" i="36" s="1"/>
  <c r="H18" i="36"/>
  <c r="H33" i="36" s="1"/>
  <c r="L89" i="5" s="1"/>
  <c r="G18" i="36"/>
  <c r="G33" i="36" s="1"/>
  <c r="F18" i="36"/>
  <c r="F33" i="36" s="1"/>
  <c r="L88" i="5" s="1"/>
  <c r="E18" i="36"/>
  <c r="E33" i="36" s="1"/>
  <c r="D18" i="36"/>
  <c r="D33" i="36" s="1"/>
  <c r="L94" i="5" s="1"/>
  <c r="C18" i="36"/>
  <c r="C33" i="36" s="1"/>
  <c r="R17" i="36"/>
  <c r="T17" i="36" s="1"/>
  <c r="Q17" i="36"/>
  <c r="W17" i="36" s="1"/>
  <c r="A17" i="36"/>
  <c r="R15" i="36"/>
  <c r="T15" i="36" s="1"/>
  <c r="Q15" i="36"/>
  <c r="W15" i="36" s="1"/>
  <c r="A15" i="36"/>
  <c r="T14" i="36"/>
  <c r="R14" i="36"/>
  <c r="Q14" i="36"/>
  <c r="W14" i="36" s="1"/>
  <c r="A14" i="36"/>
  <c r="R12" i="36"/>
  <c r="T12" i="36" s="1"/>
  <c r="Q12" i="36"/>
  <c r="W12" i="36" s="1"/>
  <c r="A12" i="36"/>
  <c r="R11" i="36"/>
  <c r="T11" i="36" s="1"/>
  <c r="Q11" i="36"/>
  <c r="W11" i="36" s="1"/>
  <c r="A11" i="36"/>
  <c r="W10" i="36"/>
  <c r="R10" i="36"/>
  <c r="T10" i="36" s="1"/>
  <c r="Q10" i="36"/>
  <c r="A10" i="36"/>
  <c r="R9" i="36"/>
  <c r="T9" i="36" s="1"/>
  <c r="Q9" i="36"/>
  <c r="W9" i="36" s="1"/>
  <c r="A9" i="36"/>
  <c r="R7" i="36"/>
  <c r="T7" i="36" s="1"/>
  <c r="Q7" i="36"/>
  <c r="W7" i="36" s="1"/>
  <c r="A7" i="36"/>
  <c r="W6" i="36"/>
  <c r="R6" i="36"/>
  <c r="R18" i="36" s="1"/>
  <c r="Q6" i="36"/>
  <c r="A6" i="36"/>
  <c r="R5" i="36"/>
  <c r="T5" i="36" s="1"/>
  <c r="Q5" i="36"/>
  <c r="W5" i="36" s="1"/>
  <c r="A5" i="36"/>
  <c r="O3" i="36"/>
  <c r="P31" i="35"/>
  <c r="O31" i="35"/>
  <c r="N31" i="35"/>
  <c r="M31" i="35"/>
  <c r="L31" i="35"/>
  <c r="K31" i="35"/>
  <c r="J31" i="35"/>
  <c r="I31" i="35"/>
  <c r="H31" i="35"/>
  <c r="G31" i="35"/>
  <c r="F31" i="35"/>
  <c r="E31" i="35"/>
  <c r="D31" i="35"/>
  <c r="C31" i="35"/>
  <c r="R30" i="35"/>
  <c r="T30" i="35" s="1"/>
  <c r="Q30" i="35"/>
  <c r="W30" i="35" s="1"/>
  <c r="A30" i="35"/>
  <c r="R28" i="35"/>
  <c r="T28" i="35" s="1"/>
  <c r="Q28" i="35"/>
  <c r="W28" i="35" s="1"/>
  <c r="A28" i="35"/>
  <c r="W27" i="35"/>
  <c r="R27" i="35"/>
  <c r="T27" i="35" s="1"/>
  <c r="Q27" i="35"/>
  <c r="A27" i="35"/>
  <c r="R26" i="35"/>
  <c r="T26" i="35" s="1"/>
  <c r="Q26" i="35"/>
  <c r="W26" i="35" s="1"/>
  <c r="A26" i="35"/>
  <c r="R24" i="35"/>
  <c r="T24" i="35" s="1"/>
  <c r="Q24" i="35"/>
  <c r="W24" i="35" s="1"/>
  <c r="A24" i="35"/>
  <c r="R23" i="35"/>
  <c r="T23" i="35" s="1"/>
  <c r="Q23" i="35"/>
  <c r="W23" i="35" s="1"/>
  <c r="A23" i="35"/>
  <c r="R22" i="35"/>
  <c r="T22" i="35" s="1"/>
  <c r="Q22" i="35"/>
  <c r="W22" i="35" s="1"/>
  <c r="A22" i="35"/>
  <c r="R20" i="35"/>
  <c r="T20" i="35" s="1"/>
  <c r="Q20" i="35"/>
  <c r="W20" i="35" s="1"/>
  <c r="A20" i="35"/>
  <c r="P18" i="35"/>
  <c r="P33" i="35" s="1"/>
  <c r="L86" i="5" s="1"/>
  <c r="O18" i="35"/>
  <c r="O33" i="35" s="1"/>
  <c r="N18" i="35"/>
  <c r="N33" i="35" s="1"/>
  <c r="L85" i="5" s="1"/>
  <c r="M18" i="35"/>
  <c r="M33" i="35" s="1"/>
  <c r="L18" i="35"/>
  <c r="L33" i="35" s="1"/>
  <c r="L84" i="5" s="1"/>
  <c r="K18" i="35"/>
  <c r="K33" i="35" s="1"/>
  <c r="J18" i="35"/>
  <c r="J33" i="35" s="1"/>
  <c r="L83" i="5" s="1"/>
  <c r="I18" i="35"/>
  <c r="I33" i="35" s="1"/>
  <c r="H18" i="35"/>
  <c r="H33" i="35" s="1"/>
  <c r="L82" i="5" s="1"/>
  <c r="G18" i="35"/>
  <c r="G33" i="35" s="1"/>
  <c r="F18" i="35"/>
  <c r="F33" i="35" s="1"/>
  <c r="L81" i="5" s="1"/>
  <c r="E18" i="35"/>
  <c r="E33" i="35" s="1"/>
  <c r="D18" i="35"/>
  <c r="D33" i="35" s="1"/>
  <c r="L87" i="5" s="1"/>
  <c r="C18" i="35"/>
  <c r="C33" i="35" s="1"/>
  <c r="R17" i="35"/>
  <c r="T17" i="35" s="1"/>
  <c r="Q17" i="35"/>
  <c r="W17" i="35" s="1"/>
  <c r="A17" i="35"/>
  <c r="R15" i="35"/>
  <c r="T15" i="35" s="1"/>
  <c r="Q15" i="35"/>
  <c r="W15" i="35" s="1"/>
  <c r="A15" i="35"/>
  <c r="R14" i="35"/>
  <c r="T14" i="35" s="1"/>
  <c r="Q14" i="35"/>
  <c r="W14" i="35" s="1"/>
  <c r="A14" i="35"/>
  <c r="R12" i="35"/>
  <c r="T12" i="35" s="1"/>
  <c r="Q12" i="35"/>
  <c r="W12" i="35" s="1"/>
  <c r="A12" i="35"/>
  <c r="R11" i="35"/>
  <c r="T11" i="35" s="1"/>
  <c r="Q11" i="35"/>
  <c r="W11" i="35" s="1"/>
  <c r="A11" i="35"/>
  <c r="W10" i="35"/>
  <c r="R10" i="35"/>
  <c r="T10" i="35" s="1"/>
  <c r="Q10" i="35"/>
  <c r="A10" i="35"/>
  <c r="R9" i="35"/>
  <c r="T9" i="35" s="1"/>
  <c r="Q9" i="35"/>
  <c r="W9" i="35" s="1"/>
  <c r="A9" i="35"/>
  <c r="R7" i="35"/>
  <c r="T7" i="35" s="1"/>
  <c r="Q7" i="35"/>
  <c r="W7" i="35" s="1"/>
  <c r="A7" i="35"/>
  <c r="R6" i="35"/>
  <c r="T6" i="35" s="1"/>
  <c r="Q6" i="35"/>
  <c r="W6" i="35" s="1"/>
  <c r="A6" i="35"/>
  <c r="R5" i="35"/>
  <c r="Q5" i="35"/>
  <c r="W5" i="35" s="1"/>
  <c r="A5" i="35"/>
  <c r="P3" i="35"/>
  <c r="P31" i="34"/>
  <c r="O31" i="34"/>
  <c r="N31" i="34"/>
  <c r="M31" i="34"/>
  <c r="L31" i="34"/>
  <c r="K31" i="34"/>
  <c r="J31" i="34"/>
  <c r="I31" i="34"/>
  <c r="H31" i="34"/>
  <c r="G31" i="34"/>
  <c r="F31" i="34"/>
  <c r="E31" i="34"/>
  <c r="D31" i="34"/>
  <c r="C31" i="34"/>
  <c r="R30" i="34"/>
  <c r="T30" i="34" s="1"/>
  <c r="Q30" i="34"/>
  <c r="W30" i="34" s="1"/>
  <c r="A30" i="34"/>
  <c r="R28" i="34"/>
  <c r="T28" i="34" s="1"/>
  <c r="Q28" i="34"/>
  <c r="W28" i="34" s="1"/>
  <c r="A28" i="34"/>
  <c r="R27" i="34"/>
  <c r="T27" i="34" s="1"/>
  <c r="Q27" i="34"/>
  <c r="W27" i="34" s="1"/>
  <c r="A27" i="34"/>
  <c r="R26" i="34"/>
  <c r="T26" i="34" s="1"/>
  <c r="Q26" i="34"/>
  <c r="W26" i="34" s="1"/>
  <c r="A26" i="34"/>
  <c r="R24" i="34"/>
  <c r="T24" i="34" s="1"/>
  <c r="Q24" i="34"/>
  <c r="W24" i="34" s="1"/>
  <c r="A24" i="34"/>
  <c r="R23" i="34"/>
  <c r="T23" i="34" s="1"/>
  <c r="Q23" i="34"/>
  <c r="W23" i="34" s="1"/>
  <c r="A23" i="34"/>
  <c r="R22" i="34"/>
  <c r="T22" i="34" s="1"/>
  <c r="Q22" i="34"/>
  <c r="W22" i="34" s="1"/>
  <c r="A22" i="34"/>
  <c r="R20" i="34"/>
  <c r="T20" i="34" s="1"/>
  <c r="Q20" i="34"/>
  <c r="W20" i="34" s="1"/>
  <c r="A20" i="34"/>
  <c r="P18" i="34"/>
  <c r="P33" i="34" s="1"/>
  <c r="L79" i="5" s="1"/>
  <c r="O18" i="34"/>
  <c r="O33" i="34" s="1"/>
  <c r="N18" i="34"/>
  <c r="N33" i="34" s="1"/>
  <c r="L78" i="5" s="1"/>
  <c r="M18" i="34"/>
  <c r="M33" i="34" s="1"/>
  <c r="L18" i="34"/>
  <c r="L33" i="34" s="1"/>
  <c r="L77" i="5" s="1"/>
  <c r="K18" i="34"/>
  <c r="K33" i="34" s="1"/>
  <c r="J18" i="34"/>
  <c r="J33" i="34" s="1"/>
  <c r="L76" i="5" s="1"/>
  <c r="I18" i="34"/>
  <c r="I33" i="34" s="1"/>
  <c r="H18" i="34"/>
  <c r="H33" i="34" s="1"/>
  <c r="L75" i="5" s="1"/>
  <c r="G18" i="34"/>
  <c r="G33" i="34" s="1"/>
  <c r="F18" i="34"/>
  <c r="F33" i="34" s="1"/>
  <c r="L74" i="5" s="1"/>
  <c r="E18" i="34"/>
  <c r="E33" i="34" s="1"/>
  <c r="D18" i="34"/>
  <c r="D33" i="34" s="1"/>
  <c r="L80" i="5" s="1"/>
  <c r="C18" i="34"/>
  <c r="C33" i="34" s="1"/>
  <c r="R17" i="34"/>
  <c r="T17" i="34" s="1"/>
  <c r="Q17" i="34"/>
  <c r="W17" i="34" s="1"/>
  <c r="A17" i="34"/>
  <c r="R15" i="34"/>
  <c r="T15" i="34" s="1"/>
  <c r="Q15" i="34"/>
  <c r="W15" i="34" s="1"/>
  <c r="A15" i="34"/>
  <c r="R14" i="34"/>
  <c r="T14" i="34" s="1"/>
  <c r="Q14" i="34"/>
  <c r="W14" i="34" s="1"/>
  <c r="A14" i="34"/>
  <c r="R12" i="34"/>
  <c r="T12" i="34" s="1"/>
  <c r="Q12" i="34"/>
  <c r="W12" i="34" s="1"/>
  <c r="A12" i="34"/>
  <c r="R11" i="34"/>
  <c r="T11" i="34" s="1"/>
  <c r="Q11" i="34"/>
  <c r="W11" i="34" s="1"/>
  <c r="A11" i="34"/>
  <c r="W10" i="34"/>
  <c r="R10" i="34"/>
  <c r="T10" i="34" s="1"/>
  <c r="Q10" i="34"/>
  <c r="A10" i="34"/>
  <c r="R9" i="34"/>
  <c r="T9" i="34" s="1"/>
  <c r="Q9" i="34"/>
  <c r="W9" i="34" s="1"/>
  <c r="A9" i="34"/>
  <c r="R7" i="34"/>
  <c r="T7" i="34" s="1"/>
  <c r="Q7" i="34"/>
  <c r="W7" i="34" s="1"/>
  <c r="A7" i="34"/>
  <c r="R6" i="34"/>
  <c r="T6" i="34" s="1"/>
  <c r="Q6" i="34"/>
  <c r="W6" i="34" s="1"/>
  <c r="A6" i="34"/>
  <c r="R5" i="34"/>
  <c r="Q5" i="34"/>
  <c r="W5" i="34" s="1"/>
  <c r="A5" i="34"/>
  <c r="P31" i="33"/>
  <c r="O31" i="33"/>
  <c r="N31" i="33"/>
  <c r="M31" i="33"/>
  <c r="L31" i="33"/>
  <c r="K31" i="33"/>
  <c r="J31" i="33"/>
  <c r="I31" i="33"/>
  <c r="H31" i="33"/>
  <c r="G31" i="33"/>
  <c r="F31" i="33"/>
  <c r="E31" i="33"/>
  <c r="D31" i="33"/>
  <c r="C31" i="33"/>
  <c r="R30" i="33"/>
  <c r="T30" i="33" s="1"/>
  <c r="Q30" i="33"/>
  <c r="U30" i="33" s="1"/>
  <c r="A30" i="33"/>
  <c r="R28" i="33"/>
  <c r="T28" i="33" s="1"/>
  <c r="Q28" i="33"/>
  <c r="U28" i="33" s="1"/>
  <c r="A28" i="33"/>
  <c r="R27" i="33"/>
  <c r="T27" i="33" s="1"/>
  <c r="Q27" i="33"/>
  <c r="U27" i="33" s="1"/>
  <c r="A27" i="33"/>
  <c r="R26" i="33"/>
  <c r="T26" i="33" s="1"/>
  <c r="Q26" i="33"/>
  <c r="U26" i="33" s="1"/>
  <c r="A26" i="33"/>
  <c r="R24" i="33"/>
  <c r="T24" i="33" s="1"/>
  <c r="Q24" i="33"/>
  <c r="U24" i="33" s="1"/>
  <c r="A24" i="33"/>
  <c r="R23" i="33"/>
  <c r="T23" i="33" s="1"/>
  <c r="Q23" i="33"/>
  <c r="U23" i="33" s="1"/>
  <c r="A23" i="33"/>
  <c r="R22" i="33"/>
  <c r="T22" i="33" s="1"/>
  <c r="Q22" i="33"/>
  <c r="U22" i="33" s="1"/>
  <c r="A22" i="33"/>
  <c r="R20" i="33"/>
  <c r="T20" i="33" s="1"/>
  <c r="Q20" i="33"/>
  <c r="U20" i="33" s="1"/>
  <c r="A20" i="33"/>
  <c r="P18" i="33"/>
  <c r="P33" i="33" s="1"/>
  <c r="O18" i="33"/>
  <c r="O33" i="33" s="1"/>
  <c r="N18" i="33"/>
  <c r="N33" i="33" s="1"/>
  <c r="D103" i="5" s="1"/>
  <c r="M18" i="33"/>
  <c r="M33" i="33" s="1"/>
  <c r="L18" i="33"/>
  <c r="L33" i="33" s="1"/>
  <c r="D102" i="5" s="1"/>
  <c r="K18" i="33"/>
  <c r="K33" i="33" s="1"/>
  <c r="J18" i="33"/>
  <c r="J33" i="33" s="1"/>
  <c r="D101" i="5" s="1"/>
  <c r="I18" i="33"/>
  <c r="I33" i="33" s="1"/>
  <c r="H18" i="33"/>
  <c r="H33" i="33" s="1"/>
  <c r="D100" i="5" s="1"/>
  <c r="G18" i="33"/>
  <c r="G33" i="33" s="1"/>
  <c r="F18" i="33"/>
  <c r="F33" i="33" s="1"/>
  <c r="D99" i="5" s="1"/>
  <c r="E18" i="33"/>
  <c r="E33" i="33" s="1"/>
  <c r="D18" i="33"/>
  <c r="D33" i="33" s="1"/>
  <c r="C18" i="33"/>
  <c r="C33" i="33" s="1"/>
  <c r="R17" i="33"/>
  <c r="T17" i="33" s="1"/>
  <c r="Q17" i="33"/>
  <c r="U17" i="33" s="1"/>
  <c r="A17" i="33"/>
  <c r="R15" i="33"/>
  <c r="T15" i="33" s="1"/>
  <c r="Q15" i="33"/>
  <c r="U15" i="33" s="1"/>
  <c r="A15" i="33"/>
  <c r="R14" i="33"/>
  <c r="T14" i="33" s="1"/>
  <c r="Q14" i="33"/>
  <c r="U14" i="33" s="1"/>
  <c r="A14" i="33"/>
  <c r="T12" i="33"/>
  <c r="R12" i="33"/>
  <c r="Q12" i="33"/>
  <c r="U12" i="33" s="1"/>
  <c r="A12" i="33"/>
  <c r="R11" i="33"/>
  <c r="T11" i="33" s="1"/>
  <c r="Q11" i="33"/>
  <c r="U11" i="33" s="1"/>
  <c r="A11" i="33"/>
  <c r="R10" i="33"/>
  <c r="T10" i="33" s="1"/>
  <c r="Q10" i="33"/>
  <c r="U10" i="33" s="1"/>
  <c r="A10" i="33"/>
  <c r="R9" i="33"/>
  <c r="T9" i="33" s="1"/>
  <c r="Q9" i="33"/>
  <c r="U9" i="33" s="1"/>
  <c r="A9" i="33"/>
  <c r="R7" i="33"/>
  <c r="T7" i="33" s="1"/>
  <c r="Q7" i="33"/>
  <c r="U7" i="33" s="1"/>
  <c r="A7" i="33"/>
  <c r="R6" i="33"/>
  <c r="T6" i="33" s="1"/>
  <c r="Q6" i="33"/>
  <c r="U6" i="33" s="1"/>
  <c r="A6" i="33"/>
  <c r="R5" i="33"/>
  <c r="Q5" i="33"/>
  <c r="U5" i="33" s="1"/>
  <c r="A5" i="33"/>
  <c r="I3" i="33"/>
  <c r="O3" i="33"/>
  <c r="P31" i="32"/>
  <c r="O31" i="32"/>
  <c r="N31" i="32"/>
  <c r="M31" i="32"/>
  <c r="L31" i="32"/>
  <c r="K31" i="32"/>
  <c r="J31" i="32"/>
  <c r="I31" i="32"/>
  <c r="H31" i="32"/>
  <c r="G31" i="32"/>
  <c r="F31" i="32"/>
  <c r="E31" i="32"/>
  <c r="D31" i="32"/>
  <c r="C31" i="32"/>
  <c r="R30" i="32"/>
  <c r="T30" i="32" s="1"/>
  <c r="Q30" i="32"/>
  <c r="U30" i="32" s="1"/>
  <c r="A30" i="32"/>
  <c r="R28" i="32"/>
  <c r="T28" i="32" s="1"/>
  <c r="Q28" i="32"/>
  <c r="U28" i="32" s="1"/>
  <c r="A28" i="32"/>
  <c r="R27" i="32"/>
  <c r="T27" i="32" s="1"/>
  <c r="Q27" i="32"/>
  <c r="U27" i="32" s="1"/>
  <c r="A27" i="32"/>
  <c r="R26" i="32"/>
  <c r="T26" i="32" s="1"/>
  <c r="Q26" i="32"/>
  <c r="U26" i="32" s="1"/>
  <c r="A26" i="32"/>
  <c r="R24" i="32"/>
  <c r="T24" i="32" s="1"/>
  <c r="Q24" i="32"/>
  <c r="U24" i="32" s="1"/>
  <c r="A24" i="32"/>
  <c r="R23" i="32"/>
  <c r="T23" i="32" s="1"/>
  <c r="Q23" i="32"/>
  <c r="U23" i="32" s="1"/>
  <c r="A23" i="32"/>
  <c r="R22" i="32"/>
  <c r="T22" i="32" s="1"/>
  <c r="Q22" i="32"/>
  <c r="U22" i="32" s="1"/>
  <c r="A22" i="32"/>
  <c r="R20" i="32"/>
  <c r="T20" i="32" s="1"/>
  <c r="Q20" i="32"/>
  <c r="U20" i="32" s="1"/>
  <c r="A20" i="32"/>
  <c r="P18" i="32"/>
  <c r="P33" i="32" s="1"/>
  <c r="D97" i="5" s="1"/>
  <c r="O18" i="32"/>
  <c r="O33" i="32" s="1"/>
  <c r="N18" i="32"/>
  <c r="N33" i="32" s="1"/>
  <c r="D96" i="5" s="1"/>
  <c r="M18" i="32"/>
  <c r="M33" i="32" s="1"/>
  <c r="L18" i="32"/>
  <c r="L33" i="32" s="1"/>
  <c r="D95" i="5" s="1"/>
  <c r="K18" i="32"/>
  <c r="K33" i="32" s="1"/>
  <c r="J18" i="32"/>
  <c r="J33" i="32" s="1"/>
  <c r="D94" i="5" s="1"/>
  <c r="I18" i="32"/>
  <c r="I33" i="32" s="1"/>
  <c r="H18" i="32"/>
  <c r="H33" i="32" s="1"/>
  <c r="D93" i="5" s="1"/>
  <c r="G18" i="32"/>
  <c r="G33" i="32" s="1"/>
  <c r="F18" i="32"/>
  <c r="F33" i="32" s="1"/>
  <c r="D92" i="5" s="1"/>
  <c r="E18" i="32"/>
  <c r="E33" i="32" s="1"/>
  <c r="D18" i="32"/>
  <c r="D33" i="32" s="1"/>
  <c r="D91" i="5" s="1"/>
  <c r="C18" i="32"/>
  <c r="C33" i="32" s="1"/>
  <c r="R17" i="32"/>
  <c r="T17" i="32" s="1"/>
  <c r="Q17" i="32"/>
  <c r="U17" i="32" s="1"/>
  <c r="A17" i="32"/>
  <c r="R15" i="32"/>
  <c r="T15" i="32" s="1"/>
  <c r="Q15" i="32"/>
  <c r="U15" i="32" s="1"/>
  <c r="A15" i="32"/>
  <c r="R14" i="32"/>
  <c r="T14" i="32" s="1"/>
  <c r="Q14" i="32"/>
  <c r="U14" i="32" s="1"/>
  <c r="A14" i="32"/>
  <c r="R12" i="32"/>
  <c r="T12" i="32" s="1"/>
  <c r="Q12" i="32"/>
  <c r="U12" i="32" s="1"/>
  <c r="A12" i="32"/>
  <c r="R11" i="32"/>
  <c r="T11" i="32" s="1"/>
  <c r="Q11" i="32"/>
  <c r="U11" i="32" s="1"/>
  <c r="A11" i="32"/>
  <c r="R10" i="32"/>
  <c r="T10" i="32" s="1"/>
  <c r="Q10" i="32"/>
  <c r="U10" i="32" s="1"/>
  <c r="A10" i="32"/>
  <c r="R9" i="32"/>
  <c r="T9" i="32" s="1"/>
  <c r="Q9" i="32"/>
  <c r="U9" i="32" s="1"/>
  <c r="A9" i="32"/>
  <c r="R7" i="32"/>
  <c r="T7" i="32" s="1"/>
  <c r="Q7" i="32"/>
  <c r="U7" i="32" s="1"/>
  <c r="A7" i="32"/>
  <c r="R6" i="32"/>
  <c r="T6" i="32" s="1"/>
  <c r="Q6" i="32"/>
  <c r="U6" i="32" s="1"/>
  <c r="A6" i="32"/>
  <c r="R5" i="32"/>
  <c r="Q5" i="32"/>
  <c r="U5" i="32" s="1"/>
  <c r="A5" i="32"/>
  <c r="I3" i="32"/>
  <c r="O3" i="32"/>
  <c r="P31" i="31"/>
  <c r="O31" i="31"/>
  <c r="N31" i="31"/>
  <c r="M31" i="31"/>
  <c r="L31" i="31"/>
  <c r="K31" i="31"/>
  <c r="J31" i="31"/>
  <c r="I31" i="31"/>
  <c r="H31" i="31"/>
  <c r="G31" i="31"/>
  <c r="F31" i="31"/>
  <c r="E31" i="31"/>
  <c r="D31" i="31"/>
  <c r="C31" i="31"/>
  <c r="R30" i="31"/>
  <c r="T30" i="31" s="1"/>
  <c r="Q30" i="31"/>
  <c r="U30" i="31" s="1"/>
  <c r="A30" i="31"/>
  <c r="R28" i="31"/>
  <c r="T28" i="31" s="1"/>
  <c r="Q28" i="31"/>
  <c r="U28" i="31" s="1"/>
  <c r="A28" i="31"/>
  <c r="R27" i="31"/>
  <c r="T27" i="31" s="1"/>
  <c r="Q27" i="31"/>
  <c r="U27" i="31" s="1"/>
  <c r="A27" i="31"/>
  <c r="R26" i="31"/>
  <c r="T26" i="31" s="1"/>
  <c r="Q26" i="31"/>
  <c r="U26" i="31" s="1"/>
  <c r="A26" i="31"/>
  <c r="R24" i="31"/>
  <c r="T24" i="31" s="1"/>
  <c r="Q24" i="31"/>
  <c r="U24" i="31" s="1"/>
  <c r="A24" i="31"/>
  <c r="R23" i="31"/>
  <c r="T23" i="31" s="1"/>
  <c r="Q23" i="31"/>
  <c r="U23" i="31" s="1"/>
  <c r="A23" i="31"/>
  <c r="R22" i="31"/>
  <c r="T22" i="31" s="1"/>
  <c r="Q22" i="31"/>
  <c r="U22" i="31" s="1"/>
  <c r="A22" i="31"/>
  <c r="R20" i="31"/>
  <c r="T20" i="31" s="1"/>
  <c r="Q20" i="31"/>
  <c r="U20" i="31" s="1"/>
  <c r="A20" i="31"/>
  <c r="P18" i="31"/>
  <c r="P33" i="31" s="1"/>
  <c r="D90" i="5" s="1"/>
  <c r="O18" i="31"/>
  <c r="O33" i="31" s="1"/>
  <c r="N18" i="31"/>
  <c r="N33" i="31" s="1"/>
  <c r="D89" i="5" s="1"/>
  <c r="M18" i="31"/>
  <c r="M33" i="31" s="1"/>
  <c r="L18" i="31"/>
  <c r="L33" i="31" s="1"/>
  <c r="D88" i="5" s="1"/>
  <c r="K18" i="31"/>
  <c r="K33" i="31" s="1"/>
  <c r="J18" i="31"/>
  <c r="J33" i="31" s="1"/>
  <c r="D87" i="5" s="1"/>
  <c r="I18" i="31"/>
  <c r="I33" i="31" s="1"/>
  <c r="H18" i="31"/>
  <c r="H33" i="31" s="1"/>
  <c r="D86" i="5" s="1"/>
  <c r="G18" i="31"/>
  <c r="G33" i="31" s="1"/>
  <c r="F18" i="31"/>
  <c r="F33" i="31" s="1"/>
  <c r="D85" i="5" s="1"/>
  <c r="E18" i="31"/>
  <c r="E33" i="31" s="1"/>
  <c r="D18" i="31"/>
  <c r="D33" i="31" s="1"/>
  <c r="D84" i="5" s="1"/>
  <c r="C18" i="31"/>
  <c r="C33" i="31" s="1"/>
  <c r="R17" i="31"/>
  <c r="T17" i="31" s="1"/>
  <c r="Q17" i="31"/>
  <c r="U17" i="31" s="1"/>
  <c r="A17" i="31"/>
  <c r="R15" i="31"/>
  <c r="T15" i="31" s="1"/>
  <c r="Q15" i="31"/>
  <c r="U15" i="31" s="1"/>
  <c r="A15" i="31"/>
  <c r="R14" i="31"/>
  <c r="T14" i="31" s="1"/>
  <c r="Q14" i="31"/>
  <c r="U14" i="31" s="1"/>
  <c r="A14" i="31"/>
  <c r="T12" i="31"/>
  <c r="R12" i="31"/>
  <c r="Q12" i="31"/>
  <c r="U12" i="31" s="1"/>
  <c r="A12" i="31"/>
  <c r="R11" i="31"/>
  <c r="T11" i="31" s="1"/>
  <c r="Q11" i="31"/>
  <c r="U11" i="31" s="1"/>
  <c r="A11" i="31"/>
  <c r="R10" i="31"/>
  <c r="T10" i="31" s="1"/>
  <c r="Q10" i="31"/>
  <c r="U10" i="31" s="1"/>
  <c r="A10" i="31"/>
  <c r="R9" i="31"/>
  <c r="T9" i="31" s="1"/>
  <c r="Q9" i="31"/>
  <c r="U9" i="31" s="1"/>
  <c r="A9" i="31"/>
  <c r="R7" i="31"/>
  <c r="T7" i="31" s="1"/>
  <c r="Q7" i="31"/>
  <c r="U7" i="31" s="1"/>
  <c r="A7" i="31"/>
  <c r="R6" i="31"/>
  <c r="Q6" i="31"/>
  <c r="U6" i="31" s="1"/>
  <c r="A6" i="31"/>
  <c r="R5" i="31"/>
  <c r="T5" i="31" s="1"/>
  <c r="Q5" i="31"/>
  <c r="U5" i="31" s="1"/>
  <c r="A5" i="31"/>
  <c r="O3" i="31"/>
  <c r="P31" i="30"/>
  <c r="O31" i="30"/>
  <c r="N31" i="30"/>
  <c r="M31" i="30"/>
  <c r="L31" i="30"/>
  <c r="K31" i="30"/>
  <c r="J31" i="30"/>
  <c r="I31" i="30"/>
  <c r="H31" i="30"/>
  <c r="G31" i="30"/>
  <c r="F31" i="30"/>
  <c r="E31" i="30"/>
  <c r="D31" i="30"/>
  <c r="C31" i="30"/>
  <c r="R30" i="30"/>
  <c r="T30" i="30" s="1"/>
  <c r="Q30" i="30"/>
  <c r="U30" i="30" s="1"/>
  <c r="A30" i="30"/>
  <c r="R28" i="30"/>
  <c r="T28" i="30" s="1"/>
  <c r="Q28" i="30"/>
  <c r="U28" i="30" s="1"/>
  <c r="A28" i="30"/>
  <c r="R27" i="30"/>
  <c r="T27" i="30" s="1"/>
  <c r="Q27" i="30"/>
  <c r="U27" i="30" s="1"/>
  <c r="A27" i="30"/>
  <c r="R26" i="30"/>
  <c r="T26" i="30" s="1"/>
  <c r="Q26" i="30"/>
  <c r="U26" i="30" s="1"/>
  <c r="A26" i="30"/>
  <c r="R24" i="30"/>
  <c r="T24" i="30" s="1"/>
  <c r="Q24" i="30"/>
  <c r="U24" i="30" s="1"/>
  <c r="A24" i="30"/>
  <c r="R23" i="30"/>
  <c r="T23" i="30" s="1"/>
  <c r="Q23" i="30"/>
  <c r="U23" i="30" s="1"/>
  <c r="A23" i="30"/>
  <c r="R22" i="30"/>
  <c r="T22" i="30" s="1"/>
  <c r="Q22" i="30"/>
  <c r="U22" i="30" s="1"/>
  <c r="A22" i="30"/>
  <c r="R20" i="30"/>
  <c r="T20" i="30" s="1"/>
  <c r="Q20" i="30"/>
  <c r="U20" i="30" s="1"/>
  <c r="A20" i="30"/>
  <c r="P18" i="30"/>
  <c r="P33" i="30" s="1"/>
  <c r="D83" i="5" s="1"/>
  <c r="O18" i="30"/>
  <c r="O33" i="30" s="1"/>
  <c r="N18" i="30"/>
  <c r="N33" i="30" s="1"/>
  <c r="D82" i="5" s="1"/>
  <c r="M18" i="30"/>
  <c r="M33" i="30" s="1"/>
  <c r="L18" i="30"/>
  <c r="L33" i="30" s="1"/>
  <c r="D81" i="5" s="1"/>
  <c r="K18" i="30"/>
  <c r="K33" i="30" s="1"/>
  <c r="J18" i="30"/>
  <c r="J33" i="30" s="1"/>
  <c r="D80" i="5" s="1"/>
  <c r="I18" i="30"/>
  <c r="I33" i="30" s="1"/>
  <c r="H18" i="30"/>
  <c r="H33" i="30" s="1"/>
  <c r="D79" i="5" s="1"/>
  <c r="G18" i="30"/>
  <c r="G33" i="30" s="1"/>
  <c r="F18" i="30"/>
  <c r="F33" i="30" s="1"/>
  <c r="D78" i="5" s="1"/>
  <c r="E18" i="30"/>
  <c r="E33" i="30" s="1"/>
  <c r="D18" i="30"/>
  <c r="D33" i="30" s="1"/>
  <c r="D77" i="5" s="1"/>
  <c r="C18" i="30"/>
  <c r="C33" i="30" s="1"/>
  <c r="R17" i="30"/>
  <c r="T17" i="30" s="1"/>
  <c r="Q17" i="30"/>
  <c r="U17" i="30" s="1"/>
  <c r="A17" i="30"/>
  <c r="R15" i="30"/>
  <c r="T15" i="30" s="1"/>
  <c r="Q15" i="30"/>
  <c r="U15" i="30" s="1"/>
  <c r="A15" i="30"/>
  <c r="R14" i="30"/>
  <c r="T14" i="30" s="1"/>
  <c r="Q14" i="30"/>
  <c r="U14" i="30" s="1"/>
  <c r="A14" i="30"/>
  <c r="R12" i="30"/>
  <c r="T12" i="30" s="1"/>
  <c r="Q12" i="30"/>
  <c r="U12" i="30" s="1"/>
  <c r="A12" i="30"/>
  <c r="R11" i="30"/>
  <c r="T11" i="30" s="1"/>
  <c r="Q11" i="30"/>
  <c r="U11" i="30" s="1"/>
  <c r="A11" i="30"/>
  <c r="R10" i="30"/>
  <c r="T10" i="30" s="1"/>
  <c r="Q10" i="30"/>
  <c r="U10" i="30" s="1"/>
  <c r="A10" i="30"/>
  <c r="R9" i="30"/>
  <c r="T9" i="30" s="1"/>
  <c r="Q9" i="30"/>
  <c r="U9" i="30" s="1"/>
  <c r="A9" i="30"/>
  <c r="R7" i="30"/>
  <c r="T7" i="30" s="1"/>
  <c r="Q7" i="30"/>
  <c r="U7" i="30" s="1"/>
  <c r="A7" i="30"/>
  <c r="R6" i="30"/>
  <c r="Q6" i="30"/>
  <c r="U6" i="30" s="1"/>
  <c r="A6" i="30"/>
  <c r="R5" i="30"/>
  <c r="T5" i="30" s="1"/>
  <c r="Q5" i="30"/>
  <c r="U5" i="30" s="1"/>
  <c r="A5" i="30"/>
  <c r="O3" i="30"/>
  <c r="P31" i="29"/>
  <c r="O31" i="29"/>
  <c r="N31" i="29"/>
  <c r="M31" i="29"/>
  <c r="L31" i="29"/>
  <c r="K31" i="29"/>
  <c r="J31" i="29"/>
  <c r="I31" i="29"/>
  <c r="H31" i="29"/>
  <c r="G31" i="29"/>
  <c r="F31" i="29"/>
  <c r="E31" i="29"/>
  <c r="D31" i="29"/>
  <c r="C31" i="29"/>
  <c r="R30" i="29"/>
  <c r="T30" i="29" s="1"/>
  <c r="Q30" i="29"/>
  <c r="U30" i="29" s="1"/>
  <c r="A30" i="29"/>
  <c r="R28" i="29"/>
  <c r="T28" i="29" s="1"/>
  <c r="Q28" i="29"/>
  <c r="U28" i="29" s="1"/>
  <c r="A28" i="29"/>
  <c r="R27" i="29"/>
  <c r="T27" i="29" s="1"/>
  <c r="Q27" i="29"/>
  <c r="U27" i="29" s="1"/>
  <c r="A27" i="29"/>
  <c r="R26" i="29"/>
  <c r="T26" i="29" s="1"/>
  <c r="Q26" i="29"/>
  <c r="U26" i="29" s="1"/>
  <c r="A26" i="29"/>
  <c r="R24" i="29"/>
  <c r="T24" i="29" s="1"/>
  <c r="Q24" i="29"/>
  <c r="U24" i="29" s="1"/>
  <c r="A24" i="29"/>
  <c r="R23" i="29"/>
  <c r="T23" i="29" s="1"/>
  <c r="Q23" i="29"/>
  <c r="U23" i="29" s="1"/>
  <c r="A23" i="29"/>
  <c r="R22" i="29"/>
  <c r="T22" i="29" s="1"/>
  <c r="Q22" i="29"/>
  <c r="U22" i="29" s="1"/>
  <c r="A22" i="29"/>
  <c r="R20" i="29"/>
  <c r="T20" i="29" s="1"/>
  <c r="Q20" i="29"/>
  <c r="U20" i="29" s="1"/>
  <c r="A20" i="29"/>
  <c r="P18" i="29"/>
  <c r="P33" i="29" s="1"/>
  <c r="D76" i="5" s="1"/>
  <c r="O18" i="29"/>
  <c r="O33" i="29" s="1"/>
  <c r="N18" i="29"/>
  <c r="N33" i="29" s="1"/>
  <c r="D75" i="5" s="1"/>
  <c r="M18" i="29"/>
  <c r="M33" i="29" s="1"/>
  <c r="L18" i="29"/>
  <c r="L33" i="29" s="1"/>
  <c r="D74" i="5" s="1"/>
  <c r="K18" i="29"/>
  <c r="K33" i="29" s="1"/>
  <c r="J18" i="29"/>
  <c r="J33" i="29" s="1"/>
  <c r="D73" i="5" s="1"/>
  <c r="I18" i="29"/>
  <c r="I33" i="29" s="1"/>
  <c r="H18" i="29"/>
  <c r="H33" i="29" s="1"/>
  <c r="T67" i="5" s="1"/>
  <c r="G18" i="29"/>
  <c r="G33" i="29" s="1"/>
  <c r="F18" i="29"/>
  <c r="F33" i="29" s="1"/>
  <c r="T66" i="5" s="1"/>
  <c r="E18" i="29"/>
  <c r="E33" i="29" s="1"/>
  <c r="D18" i="29"/>
  <c r="D33" i="29" s="1"/>
  <c r="T65" i="5" s="1"/>
  <c r="C18" i="29"/>
  <c r="C33" i="29" s="1"/>
  <c r="R17" i="29"/>
  <c r="T17" i="29" s="1"/>
  <c r="Q17" i="29"/>
  <c r="U17" i="29" s="1"/>
  <c r="A17" i="29"/>
  <c r="R15" i="29"/>
  <c r="T15" i="29" s="1"/>
  <c r="Q15" i="29"/>
  <c r="U15" i="29" s="1"/>
  <c r="A15" i="29"/>
  <c r="R14" i="29"/>
  <c r="T14" i="29" s="1"/>
  <c r="Q14" i="29"/>
  <c r="U14" i="29" s="1"/>
  <c r="A14" i="29"/>
  <c r="R12" i="29"/>
  <c r="T12" i="29" s="1"/>
  <c r="Q12" i="29"/>
  <c r="U12" i="29" s="1"/>
  <c r="A12" i="29"/>
  <c r="T11" i="29"/>
  <c r="R11" i="29"/>
  <c r="Q11" i="29"/>
  <c r="U11" i="29" s="1"/>
  <c r="A11" i="29"/>
  <c r="R10" i="29"/>
  <c r="Q10" i="29"/>
  <c r="U10" i="29" s="1"/>
  <c r="A10" i="29"/>
  <c r="R9" i="29"/>
  <c r="T9" i="29" s="1"/>
  <c r="Q9" i="29"/>
  <c r="U9" i="29" s="1"/>
  <c r="A9" i="29"/>
  <c r="R7" i="29"/>
  <c r="T7" i="29" s="1"/>
  <c r="Q7" i="29"/>
  <c r="U7" i="29" s="1"/>
  <c r="A7" i="29"/>
  <c r="R6" i="29"/>
  <c r="T6" i="29" s="1"/>
  <c r="Q6" i="29"/>
  <c r="U6" i="29" s="1"/>
  <c r="A6" i="29"/>
  <c r="R5" i="29"/>
  <c r="Q5" i="29"/>
  <c r="U5" i="29" s="1"/>
  <c r="A5" i="29"/>
  <c r="I3" i="29"/>
  <c r="O3" i="29"/>
  <c r="P31" i="28"/>
  <c r="O31" i="28"/>
  <c r="N31" i="28"/>
  <c r="M31" i="28"/>
  <c r="L31" i="28"/>
  <c r="K31" i="28"/>
  <c r="J31" i="28"/>
  <c r="I31" i="28"/>
  <c r="H31" i="28"/>
  <c r="G31" i="28"/>
  <c r="F31" i="28"/>
  <c r="E31" i="28"/>
  <c r="D31" i="28"/>
  <c r="C31" i="28"/>
  <c r="R30" i="28"/>
  <c r="T30" i="28" s="1"/>
  <c r="Q30" i="28"/>
  <c r="U30" i="28" s="1"/>
  <c r="A30" i="28"/>
  <c r="R28" i="28"/>
  <c r="T28" i="28" s="1"/>
  <c r="Q28" i="28"/>
  <c r="U28" i="28" s="1"/>
  <c r="A28" i="28"/>
  <c r="R27" i="28"/>
  <c r="T27" i="28" s="1"/>
  <c r="Q27" i="28"/>
  <c r="U27" i="28" s="1"/>
  <c r="A27" i="28"/>
  <c r="R26" i="28"/>
  <c r="T26" i="28" s="1"/>
  <c r="Q26" i="28"/>
  <c r="U26" i="28" s="1"/>
  <c r="A26" i="28"/>
  <c r="R24" i="28"/>
  <c r="T24" i="28" s="1"/>
  <c r="Q24" i="28"/>
  <c r="U24" i="28" s="1"/>
  <c r="A24" i="28"/>
  <c r="R23" i="28"/>
  <c r="T23" i="28" s="1"/>
  <c r="Q23" i="28"/>
  <c r="U23" i="28" s="1"/>
  <c r="A23" i="28"/>
  <c r="R22" i="28"/>
  <c r="T22" i="28" s="1"/>
  <c r="Q22" i="28"/>
  <c r="U22" i="28" s="1"/>
  <c r="A22" i="28"/>
  <c r="R20" i="28"/>
  <c r="T20" i="28" s="1"/>
  <c r="Q20" i="28"/>
  <c r="U20" i="28" s="1"/>
  <c r="A20" i="28"/>
  <c r="P18" i="28"/>
  <c r="P33" i="28" s="1"/>
  <c r="T64" i="5" s="1"/>
  <c r="O18" i="28"/>
  <c r="O33" i="28" s="1"/>
  <c r="N18" i="28"/>
  <c r="N33" i="28" s="1"/>
  <c r="T63" i="5" s="1"/>
  <c r="M18" i="28"/>
  <c r="M33" i="28" s="1"/>
  <c r="L18" i="28"/>
  <c r="L33" i="28" s="1"/>
  <c r="T62" i="5" s="1"/>
  <c r="K18" i="28"/>
  <c r="K33" i="28" s="1"/>
  <c r="J18" i="28"/>
  <c r="J33" i="28" s="1"/>
  <c r="T61" i="5" s="1"/>
  <c r="I18" i="28"/>
  <c r="I33" i="28" s="1"/>
  <c r="H18" i="28"/>
  <c r="H33" i="28" s="1"/>
  <c r="T60" i="5" s="1"/>
  <c r="G18" i="28"/>
  <c r="G33" i="28" s="1"/>
  <c r="F18" i="28"/>
  <c r="F33" i="28" s="1"/>
  <c r="T59" i="5" s="1"/>
  <c r="E18" i="28"/>
  <c r="E33" i="28" s="1"/>
  <c r="D18" i="28"/>
  <c r="D33" i="28" s="1"/>
  <c r="T58" i="5" s="1"/>
  <c r="C18" i="28"/>
  <c r="C33" i="28" s="1"/>
  <c r="R17" i="28"/>
  <c r="T17" i="28" s="1"/>
  <c r="Q17" i="28"/>
  <c r="U17" i="28" s="1"/>
  <c r="A17" i="28"/>
  <c r="R15" i="28"/>
  <c r="T15" i="28" s="1"/>
  <c r="Q15" i="28"/>
  <c r="U15" i="28" s="1"/>
  <c r="A15" i="28"/>
  <c r="R14" i="28"/>
  <c r="T14" i="28" s="1"/>
  <c r="Q14" i="28"/>
  <c r="U14" i="28" s="1"/>
  <c r="A14" i="28"/>
  <c r="R12" i="28"/>
  <c r="T12" i="28" s="1"/>
  <c r="Q12" i="28"/>
  <c r="U12" i="28" s="1"/>
  <c r="A12" i="28"/>
  <c r="R11" i="28"/>
  <c r="T11" i="28" s="1"/>
  <c r="Q11" i="28"/>
  <c r="U11" i="28" s="1"/>
  <c r="A11" i="28"/>
  <c r="R10" i="28"/>
  <c r="T10" i="28" s="1"/>
  <c r="Q10" i="28"/>
  <c r="U10" i="28" s="1"/>
  <c r="A10" i="28"/>
  <c r="R9" i="28"/>
  <c r="T9" i="28" s="1"/>
  <c r="Q9" i="28"/>
  <c r="U9" i="28" s="1"/>
  <c r="A9" i="28"/>
  <c r="R7" i="28"/>
  <c r="T7" i="28" s="1"/>
  <c r="Q7" i="28"/>
  <c r="U7" i="28" s="1"/>
  <c r="A7" i="28"/>
  <c r="R6" i="28"/>
  <c r="T6" i="28" s="1"/>
  <c r="Q6" i="28"/>
  <c r="U6" i="28" s="1"/>
  <c r="A6" i="28"/>
  <c r="R5" i="28"/>
  <c r="Q5" i="28"/>
  <c r="U5" i="28" s="1"/>
  <c r="A5" i="28"/>
  <c r="O3" i="28"/>
  <c r="G3" i="28"/>
  <c r="M3" i="28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R30" i="27"/>
  <c r="T30" i="27" s="1"/>
  <c r="Q30" i="27"/>
  <c r="U30" i="27" s="1"/>
  <c r="A30" i="27"/>
  <c r="R28" i="27"/>
  <c r="T28" i="27" s="1"/>
  <c r="Q28" i="27"/>
  <c r="U28" i="27" s="1"/>
  <c r="A28" i="27"/>
  <c r="R27" i="27"/>
  <c r="T27" i="27" s="1"/>
  <c r="Q27" i="27"/>
  <c r="U27" i="27" s="1"/>
  <c r="A27" i="27"/>
  <c r="R26" i="27"/>
  <c r="T26" i="27" s="1"/>
  <c r="Q26" i="27"/>
  <c r="U26" i="27" s="1"/>
  <c r="A26" i="27"/>
  <c r="R24" i="27"/>
  <c r="T24" i="27" s="1"/>
  <c r="Q24" i="27"/>
  <c r="U24" i="27" s="1"/>
  <c r="A24" i="27"/>
  <c r="R23" i="27"/>
  <c r="T23" i="27" s="1"/>
  <c r="Q23" i="27"/>
  <c r="U23" i="27" s="1"/>
  <c r="A23" i="27"/>
  <c r="R22" i="27"/>
  <c r="T22" i="27" s="1"/>
  <c r="Q22" i="27"/>
  <c r="U22" i="27" s="1"/>
  <c r="A22" i="27"/>
  <c r="R20" i="27"/>
  <c r="T20" i="27" s="1"/>
  <c r="Q20" i="27"/>
  <c r="U20" i="27" s="1"/>
  <c r="A20" i="27"/>
  <c r="P18" i="27"/>
  <c r="P33" i="27" s="1"/>
  <c r="T57" i="5" s="1"/>
  <c r="O18" i="27"/>
  <c r="O33" i="27" s="1"/>
  <c r="N18" i="27"/>
  <c r="N33" i="27" s="1"/>
  <c r="T56" i="5" s="1"/>
  <c r="M18" i="27"/>
  <c r="M33" i="27" s="1"/>
  <c r="L18" i="27"/>
  <c r="L33" i="27" s="1"/>
  <c r="T55" i="5" s="1"/>
  <c r="K18" i="27"/>
  <c r="K33" i="27" s="1"/>
  <c r="J18" i="27"/>
  <c r="J33" i="27" s="1"/>
  <c r="T54" i="5" s="1"/>
  <c r="I18" i="27"/>
  <c r="I33" i="27" s="1"/>
  <c r="H18" i="27"/>
  <c r="H33" i="27" s="1"/>
  <c r="T53" i="5" s="1"/>
  <c r="G18" i="27"/>
  <c r="G33" i="27" s="1"/>
  <c r="F18" i="27"/>
  <c r="F33" i="27" s="1"/>
  <c r="T52" i="5" s="1"/>
  <c r="E18" i="27"/>
  <c r="E33" i="27" s="1"/>
  <c r="D18" i="27"/>
  <c r="D33" i="27" s="1"/>
  <c r="T51" i="5" s="1"/>
  <c r="C18" i="27"/>
  <c r="C33" i="27" s="1"/>
  <c r="R17" i="27"/>
  <c r="T17" i="27" s="1"/>
  <c r="Q17" i="27"/>
  <c r="U17" i="27" s="1"/>
  <c r="A17" i="27"/>
  <c r="R15" i="27"/>
  <c r="T15" i="27" s="1"/>
  <c r="Q15" i="27"/>
  <c r="U15" i="27" s="1"/>
  <c r="A15" i="27"/>
  <c r="R14" i="27"/>
  <c r="T14" i="27" s="1"/>
  <c r="Q14" i="27"/>
  <c r="U14" i="27" s="1"/>
  <c r="A14" i="27"/>
  <c r="U12" i="27"/>
  <c r="R12" i="27"/>
  <c r="T12" i="27" s="1"/>
  <c r="Q12" i="27"/>
  <c r="A12" i="27"/>
  <c r="R11" i="27"/>
  <c r="T11" i="27" s="1"/>
  <c r="Q11" i="27"/>
  <c r="U11" i="27" s="1"/>
  <c r="A11" i="27"/>
  <c r="R10" i="27"/>
  <c r="T10" i="27" s="1"/>
  <c r="Q10" i="27"/>
  <c r="U10" i="27" s="1"/>
  <c r="A10" i="27"/>
  <c r="R9" i="27"/>
  <c r="T9" i="27" s="1"/>
  <c r="Q9" i="27"/>
  <c r="U9" i="27" s="1"/>
  <c r="A9" i="27"/>
  <c r="R7" i="27"/>
  <c r="T7" i="27" s="1"/>
  <c r="Q7" i="27"/>
  <c r="U7" i="27" s="1"/>
  <c r="A7" i="27"/>
  <c r="R6" i="27"/>
  <c r="T6" i="27" s="1"/>
  <c r="Q6" i="27"/>
  <c r="U6" i="27" s="1"/>
  <c r="A6" i="27"/>
  <c r="R5" i="27"/>
  <c r="Q5" i="27"/>
  <c r="U5" i="27" s="1"/>
  <c r="A5" i="27"/>
  <c r="I3" i="27"/>
  <c r="O3" i="27"/>
  <c r="P31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R30" i="26"/>
  <c r="T30" i="26" s="1"/>
  <c r="Q30" i="26"/>
  <c r="U30" i="26" s="1"/>
  <c r="A30" i="26"/>
  <c r="R28" i="26"/>
  <c r="T28" i="26" s="1"/>
  <c r="Q28" i="26"/>
  <c r="U28" i="26" s="1"/>
  <c r="A28" i="26"/>
  <c r="R27" i="26"/>
  <c r="T27" i="26" s="1"/>
  <c r="Q27" i="26"/>
  <c r="U27" i="26" s="1"/>
  <c r="A27" i="26"/>
  <c r="R26" i="26"/>
  <c r="T26" i="26" s="1"/>
  <c r="Q26" i="26"/>
  <c r="U26" i="26" s="1"/>
  <c r="A26" i="26"/>
  <c r="R24" i="26"/>
  <c r="T24" i="26" s="1"/>
  <c r="Q24" i="26"/>
  <c r="U24" i="26" s="1"/>
  <c r="A24" i="26"/>
  <c r="U23" i="26"/>
  <c r="R23" i="26"/>
  <c r="T23" i="26" s="1"/>
  <c r="Q23" i="26"/>
  <c r="A23" i="26"/>
  <c r="R22" i="26"/>
  <c r="T22" i="26" s="1"/>
  <c r="Q22" i="26"/>
  <c r="U22" i="26" s="1"/>
  <c r="A22" i="26"/>
  <c r="R20" i="26"/>
  <c r="T20" i="26" s="1"/>
  <c r="Q20" i="26"/>
  <c r="U20" i="26" s="1"/>
  <c r="A20" i="26"/>
  <c r="P18" i="26"/>
  <c r="P33" i="26" s="1"/>
  <c r="T50" i="5" s="1"/>
  <c r="O18" i="26"/>
  <c r="O33" i="26" s="1"/>
  <c r="N18" i="26"/>
  <c r="N33" i="26" s="1"/>
  <c r="T49" i="5" s="1"/>
  <c r="M18" i="26"/>
  <c r="M33" i="26" s="1"/>
  <c r="L18" i="26"/>
  <c r="L33" i="26" s="1"/>
  <c r="T48" i="5" s="1"/>
  <c r="K18" i="26"/>
  <c r="K33" i="26" s="1"/>
  <c r="J18" i="26"/>
  <c r="J33" i="26" s="1"/>
  <c r="T47" i="5" s="1"/>
  <c r="I18" i="26"/>
  <c r="I33" i="26" s="1"/>
  <c r="H18" i="26"/>
  <c r="H33" i="26" s="1"/>
  <c r="T46" i="5" s="1"/>
  <c r="G18" i="26"/>
  <c r="G33" i="26" s="1"/>
  <c r="F18" i="26"/>
  <c r="F33" i="26" s="1"/>
  <c r="T45" i="5" s="1"/>
  <c r="E18" i="26"/>
  <c r="E33" i="26" s="1"/>
  <c r="D18" i="26"/>
  <c r="D33" i="26" s="1"/>
  <c r="T44" i="5" s="1"/>
  <c r="C18" i="26"/>
  <c r="C33" i="26" s="1"/>
  <c r="R17" i="26"/>
  <c r="T17" i="26" s="1"/>
  <c r="Q17" i="26"/>
  <c r="U17" i="26" s="1"/>
  <c r="A17" i="26"/>
  <c r="R15" i="26"/>
  <c r="T15" i="26" s="1"/>
  <c r="Q15" i="26"/>
  <c r="U15" i="26" s="1"/>
  <c r="A15" i="26"/>
  <c r="R14" i="26"/>
  <c r="T14" i="26" s="1"/>
  <c r="Q14" i="26"/>
  <c r="U14" i="26" s="1"/>
  <c r="A14" i="26"/>
  <c r="T12" i="26"/>
  <c r="R12" i="26"/>
  <c r="Q12" i="26"/>
  <c r="U12" i="26" s="1"/>
  <c r="A12" i="26"/>
  <c r="R11" i="26"/>
  <c r="T11" i="26" s="1"/>
  <c r="Q11" i="26"/>
  <c r="U11" i="26" s="1"/>
  <c r="A11" i="26"/>
  <c r="R10" i="26"/>
  <c r="T10" i="26" s="1"/>
  <c r="Q10" i="26"/>
  <c r="U10" i="26" s="1"/>
  <c r="A10" i="26"/>
  <c r="R9" i="26"/>
  <c r="T9" i="26" s="1"/>
  <c r="Q9" i="26"/>
  <c r="U9" i="26" s="1"/>
  <c r="A9" i="26"/>
  <c r="T7" i="26"/>
  <c r="R7" i="26"/>
  <c r="Q7" i="26"/>
  <c r="U7" i="26" s="1"/>
  <c r="A7" i="26"/>
  <c r="R6" i="26"/>
  <c r="T6" i="26" s="1"/>
  <c r="Q6" i="26"/>
  <c r="U6" i="26" s="1"/>
  <c r="A6" i="26"/>
  <c r="R5" i="26"/>
  <c r="Q5" i="26"/>
  <c r="U5" i="26" s="1"/>
  <c r="A5" i="26"/>
  <c r="I3" i="26"/>
  <c r="O3" i="26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R30" i="25"/>
  <c r="T30" i="25" s="1"/>
  <c r="Q30" i="25"/>
  <c r="U30" i="25" s="1"/>
  <c r="A30" i="25"/>
  <c r="T28" i="25"/>
  <c r="R28" i="25"/>
  <c r="Q28" i="25"/>
  <c r="U28" i="25" s="1"/>
  <c r="A28" i="25"/>
  <c r="R27" i="25"/>
  <c r="T27" i="25" s="1"/>
  <c r="Q27" i="25"/>
  <c r="U27" i="25" s="1"/>
  <c r="A27" i="25"/>
  <c r="R26" i="25"/>
  <c r="T26" i="25" s="1"/>
  <c r="Q26" i="25"/>
  <c r="U26" i="25" s="1"/>
  <c r="A26" i="25"/>
  <c r="R24" i="25"/>
  <c r="T24" i="25" s="1"/>
  <c r="Q24" i="25"/>
  <c r="U24" i="25" s="1"/>
  <c r="A24" i="25"/>
  <c r="R23" i="25"/>
  <c r="T23" i="25" s="1"/>
  <c r="Q23" i="25"/>
  <c r="U23" i="25" s="1"/>
  <c r="A23" i="25"/>
  <c r="R22" i="25"/>
  <c r="T22" i="25" s="1"/>
  <c r="Q22" i="25"/>
  <c r="U22" i="25" s="1"/>
  <c r="A22" i="25"/>
  <c r="R20" i="25"/>
  <c r="T20" i="25" s="1"/>
  <c r="Q20" i="25"/>
  <c r="U20" i="25" s="1"/>
  <c r="A20" i="25"/>
  <c r="P18" i="25"/>
  <c r="P33" i="25" s="1"/>
  <c r="T43" i="5" s="1"/>
  <c r="O18" i="25"/>
  <c r="O33" i="25" s="1"/>
  <c r="N18" i="25"/>
  <c r="N33" i="25" s="1"/>
  <c r="T42" i="5" s="1"/>
  <c r="M18" i="25"/>
  <c r="M33" i="25" s="1"/>
  <c r="L18" i="25"/>
  <c r="L33" i="25" s="1"/>
  <c r="T41" i="5" s="1"/>
  <c r="K18" i="25"/>
  <c r="K33" i="25" s="1"/>
  <c r="J18" i="25"/>
  <c r="J33" i="25" s="1"/>
  <c r="T40" i="5" s="1"/>
  <c r="I18" i="25"/>
  <c r="I33" i="25" s="1"/>
  <c r="H18" i="25"/>
  <c r="H33" i="25" s="1"/>
  <c r="T39" i="5" s="1"/>
  <c r="G18" i="25"/>
  <c r="G33" i="25" s="1"/>
  <c r="F18" i="25"/>
  <c r="F33" i="25" s="1"/>
  <c r="T38" i="5" s="1"/>
  <c r="E18" i="25"/>
  <c r="E33" i="25" s="1"/>
  <c r="D18" i="25"/>
  <c r="D33" i="25" s="1"/>
  <c r="L68" i="5" s="1"/>
  <c r="C18" i="25"/>
  <c r="C33" i="25" s="1"/>
  <c r="R17" i="25"/>
  <c r="T17" i="25" s="1"/>
  <c r="Q17" i="25"/>
  <c r="U17" i="25" s="1"/>
  <c r="A17" i="25"/>
  <c r="R15" i="25"/>
  <c r="T15" i="25" s="1"/>
  <c r="Q15" i="25"/>
  <c r="U15" i="25" s="1"/>
  <c r="A15" i="25"/>
  <c r="R14" i="25"/>
  <c r="T14" i="25" s="1"/>
  <c r="Q14" i="25"/>
  <c r="U14" i="25" s="1"/>
  <c r="A14" i="25"/>
  <c r="R12" i="25"/>
  <c r="T12" i="25" s="1"/>
  <c r="Q12" i="25"/>
  <c r="U12" i="25" s="1"/>
  <c r="A12" i="25"/>
  <c r="T11" i="25"/>
  <c r="R11" i="25"/>
  <c r="Q11" i="25"/>
  <c r="U11" i="25" s="1"/>
  <c r="A11" i="25"/>
  <c r="R10" i="25"/>
  <c r="Q10" i="25"/>
  <c r="U10" i="25" s="1"/>
  <c r="A10" i="25"/>
  <c r="R9" i="25"/>
  <c r="T9" i="25" s="1"/>
  <c r="Q9" i="25"/>
  <c r="U9" i="25" s="1"/>
  <c r="A9" i="25"/>
  <c r="R7" i="25"/>
  <c r="T7" i="25" s="1"/>
  <c r="Q7" i="25"/>
  <c r="U7" i="25" s="1"/>
  <c r="A7" i="25"/>
  <c r="R6" i="25"/>
  <c r="T6" i="25" s="1"/>
  <c r="Q6" i="25"/>
  <c r="U6" i="25" s="1"/>
  <c r="A6" i="25"/>
  <c r="R5" i="25"/>
  <c r="Q5" i="25"/>
  <c r="U5" i="25" s="1"/>
  <c r="A5" i="25"/>
  <c r="I3" i="25"/>
  <c r="O3" i="25"/>
  <c r="P31" i="24"/>
  <c r="O31" i="24"/>
  <c r="N31" i="24"/>
  <c r="M31" i="24"/>
  <c r="L31" i="24"/>
  <c r="K31" i="24"/>
  <c r="J31" i="24"/>
  <c r="I31" i="24"/>
  <c r="H31" i="24"/>
  <c r="G31" i="24"/>
  <c r="F31" i="24"/>
  <c r="E31" i="24"/>
  <c r="D31" i="24"/>
  <c r="C31" i="24"/>
  <c r="R30" i="24"/>
  <c r="T30" i="24" s="1"/>
  <c r="Q30" i="24"/>
  <c r="U30" i="24" s="1"/>
  <c r="A30" i="24"/>
  <c r="R28" i="24"/>
  <c r="T28" i="24" s="1"/>
  <c r="Q28" i="24"/>
  <c r="U28" i="24" s="1"/>
  <c r="A28" i="24"/>
  <c r="R27" i="24"/>
  <c r="T27" i="24" s="1"/>
  <c r="Q27" i="24"/>
  <c r="U27" i="24" s="1"/>
  <c r="A27" i="24"/>
  <c r="R26" i="24"/>
  <c r="T26" i="24" s="1"/>
  <c r="Q26" i="24"/>
  <c r="U26" i="24" s="1"/>
  <c r="A26" i="24"/>
  <c r="R24" i="24"/>
  <c r="T24" i="24" s="1"/>
  <c r="Q24" i="24"/>
  <c r="U24" i="24" s="1"/>
  <c r="A24" i="24"/>
  <c r="R23" i="24"/>
  <c r="T23" i="24" s="1"/>
  <c r="Q23" i="24"/>
  <c r="U23" i="24" s="1"/>
  <c r="A23" i="24"/>
  <c r="R22" i="24"/>
  <c r="T22" i="24" s="1"/>
  <c r="Q22" i="24"/>
  <c r="U22" i="24" s="1"/>
  <c r="A22" i="24"/>
  <c r="U20" i="24"/>
  <c r="R20" i="24"/>
  <c r="T20" i="24" s="1"/>
  <c r="Q20" i="24"/>
  <c r="A20" i="24"/>
  <c r="P18" i="24"/>
  <c r="P33" i="24" s="1"/>
  <c r="L67" i="5" s="1"/>
  <c r="O18" i="24"/>
  <c r="O33" i="24" s="1"/>
  <c r="N18" i="24"/>
  <c r="N33" i="24" s="1"/>
  <c r="L66" i="5" s="1"/>
  <c r="M18" i="24"/>
  <c r="M33" i="24" s="1"/>
  <c r="L18" i="24"/>
  <c r="L33" i="24" s="1"/>
  <c r="L65" i="5" s="1"/>
  <c r="K18" i="24"/>
  <c r="K33" i="24" s="1"/>
  <c r="J18" i="24"/>
  <c r="J33" i="24" s="1"/>
  <c r="L64" i="5" s="1"/>
  <c r="I18" i="24"/>
  <c r="I33" i="24" s="1"/>
  <c r="H18" i="24"/>
  <c r="H33" i="24" s="1"/>
  <c r="L63" i="5" s="1"/>
  <c r="G18" i="24"/>
  <c r="G33" i="24" s="1"/>
  <c r="F18" i="24"/>
  <c r="F33" i="24" s="1"/>
  <c r="L62" i="5" s="1"/>
  <c r="E18" i="24"/>
  <c r="E33" i="24" s="1"/>
  <c r="D18" i="24"/>
  <c r="D33" i="24" s="1"/>
  <c r="L61" i="5" s="1"/>
  <c r="C18" i="24"/>
  <c r="C33" i="24" s="1"/>
  <c r="R17" i="24"/>
  <c r="T17" i="24" s="1"/>
  <c r="Q17" i="24"/>
  <c r="U17" i="24" s="1"/>
  <c r="A17" i="24"/>
  <c r="R15" i="24"/>
  <c r="T15" i="24" s="1"/>
  <c r="Q15" i="24"/>
  <c r="U15" i="24" s="1"/>
  <c r="A15" i="24"/>
  <c r="R14" i="24"/>
  <c r="T14" i="24" s="1"/>
  <c r="Q14" i="24"/>
  <c r="U14" i="24" s="1"/>
  <c r="A14" i="24"/>
  <c r="R12" i="24"/>
  <c r="T12" i="24" s="1"/>
  <c r="Q12" i="24"/>
  <c r="U12" i="24" s="1"/>
  <c r="A12" i="24"/>
  <c r="R11" i="24"/>
  <c r="T11" i="24" s="1"/>
  <c r="Q11" i="24"/>
  <c r="U11" i="24" s="1"/>
  <c r="A11" i="24"/>
  <c r="R10" i="24"/>
  <c r="T10" i="24" s="1"/>
  <c r="Q10" i="24"/>
  <c r="U10" i="24" s="1"/>
  <c r="A10" i="24"/>
  <c r="R9" i="24"/>
  <c r="T9" i="24" s="1"/>
  <c r="Q9" i="24"/>
  <c r="U9" i="24" s="1"/>
  <c r="A9" i="24"/>
  <c r="R7" i="24"/>
  <c r="T7" i="24" s="1"/>
  <c r="Q7" i="24"/>
  <c r="U7" i="24" s="1"/>
  <c r="A7" i="24"/>
  <c r="R6" i="24"/>
  <c r="T6" i="24" s="1"/>
  <c r="Q6" i="24"/>
  <c r="U6" i="24" s="1"/>
  <c r="A6" i="24"/>
  <c r="R5" i="24"/>
  <c r="R18" i="24" s="1"/>
  <c r="Q5" i="24"/>
  <c r="U5" i="24" s="1"/>
  <c r="A5" i="24"/>
  <c r="O3" i="24"/>
  <c r="P31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R30" i="23"/>
  <c r="T30" i="23" s="1"/>
  <c r="Q30" i="23"/>
  <c r="U30" i="23" s="1"/>
  <c r="A30" i="23"/>
  <c r="R28" i="23"/>
  <c r="T28" i="23" s="1"/>
  <c r="Q28" i="23"/>
  <c r="U28" i="23" s="1"/>
  <c r="A28" i="23"/>
  <c r="R27" i="23"/>
  <c r="T27" i="23" s="1"/>
  <c r="Q27" i="23"/>
  <c r="U27" i="23" s="1"/>
  <c r="A27" i="23"/>
  <c r="R26" i="23"/>
  <c r="T26" i="23" s="1"/>
  <c r="Q26" i="23"/>
  <c r="U26" i="23" s="1"/>
  <c r="A26" i="23"/>
  <c r="U24" i="23"/>
  <c r="R24" i="23"/>
  <c r="T24" i="23" s="1"/>
  <c r="Q24" i="23"/>
  <c r="A24" i="23"/>
  <c r="R23" i="23"/>
  <c r="T23" i="23" s="1"/>
  <c r="Q23" i="23"/>
  <c r="U23" i="23" s="1"/>
  <c r="A23" i="23"/>
  <c r="R22" i="23"/>
  <c r="T22" i="23" s="1"/>
  <c r="Q22" i="23"/>
  <c r="U22" i="23" s="1"/>
  <c r="A22" i="23"/>
  <c r="R20" i="23"/>
  <c r="T20" i="23" s="1"/>
  <c r="Q20" i="23"/>
  <c r="U20" i="23" s="1"/>
  <c r="A20" i="23"/>
  <c r="P18" i="23"/>
  <c r="P33" i="23" s="1"/>
  <c r="L60" i="5" s="1"/>
  <c r="O18" i="23"/>
  <c r="O33" i="23" s="1"/>
  <c r="N18" i="23"/>
  <c r="N33" i="23" s="1"/>
  <c r="L59" i="5" s="1"/>
  <c r="M18" i="23"/>
  <c r="M33" i="23" s="1"/>
  <c r="L18" i="23"/>
  <c r="L33" i="23" s="1"/>
  <c r="L58" i="5" s="1"/>
  <c r="K18" i="23"/>
  <c r="K33" i="23" s="1"/>
  <c r="J18" i="23"/>
  <c r="J33" i="23" s="1"/>
  <c r="L57" i="5" s="1"/>
  <c r="I18" i="23"/>
  <c r="I33" i="23" s="1"/>
  <c r="H18" i="23"/>
  <c r="H33" i="23" s="1"/>
  <c r="L56" i="5" s="1"/>
  <c r="G18" i="23"/>
  <c r="G33" i="23" s="1"/>
  <c r="F18" i="23"/>
  <c r="F33" i="23" s="1"/>
  <c r="L55" i="5" s="1"/>
  <c r="E18" i="23"/>
  <c r="E33" i="23" s="1"/>
  <c r="D18" i="23"/>
  <c r="D33" i="23" s="1"/>
  <c r="L54" i="5" s="1"/>
  <c r="C18" i="23"/>
  <c r="C33" i="23" s="1"/>
  <c r="R17" i="23"/>
  <c r="T17" i="23" s="1"/>
  <c r="Q17" i="23"/>
  <c r="U17" i="23" s="1"/>
  <c r="A17" i="23"/>
  <c r="R15" i="23"/>
  <c r="T15" i="23" s="1"/>
  <c r="Q15" i="23"/>
  <c r="U15" i="23" s="1"/>
  <c r="A15" i="23"/>
  <c r="R14" i="23"/>
  <c r="T14" i="23" s="1"/>
  <c r="Q14" i="23"/>
  <c r="U14" i="23" s="1"/>
  <c r="A14" i="23"/>
  <c r="R12" i="23"/>
  <c r="T12" i="23" s="1"/>
  <c r="Q12" i="23"/>
  <c r="U12" i="23" s="1"/>
  <c r="A12" i="23"/>
  <c r="R11" i="23"/>
  <c r="T11" i="23" s="1"/>
  <c r="Q11" i="23"/>
  <c r="U11" i="23" s="1"/>
  <c r="A11" i="23"/>
  <c r="R10" i="23"/>
  <c r="T10" i="23" s="1"/>
  <c r="Q10" i="23"/>
  <c r="U10" i="23" s="1"/>
  <c r="A10" i="23"/>
  <c r="R9" i="23"/>
  <c r="T9" i="23" s="1"/>
  <c r="Q9" i="23"/>
  <c r="U9" i="23" s="1"/>
  <c r="A9" i="23"/>
  <c r="R7" i="23"/>
  <c r="T7" i="23" s="1"/>
  <c r="Q7" i="23"/>
  <c r="U7" i="23" s="1"/>
  <c r="A7" i="23"/>
  <c r="R6" i="23"/>
  <c r="T6" i="23" s="1"/>
  <c r="Q6" i="23"/>
  <c r="U6" i="23" s="1"/>
  <c r="A6" i="23"/>
  <c r="R5" i="23"/>
  <c r="Q5" i="23"/>
  <c r="U5" i="23" s="1"/>
  <c r="A5" i="23"/>
  <c r="M3" i="23"/>
  <c r="E3" i="23"/>
  <c r="O3" i="23"/>
  <c r="P31" i="22"/>
  <c r="O31" i="22"/>
  <c r="N31" i="22"/>
  <c r="M31" i="22"/>
  <c r="L31" i="22"/>
  <c r="K31" i="22"/>
  <c r="J31" i="22"/>
  <c r="I31" i="22"/>
  <c r="H31" i="22"/>
  <c r="G31" i="22"/>
  <c r="F31" i="22"/>
  <c r="E31" i="22"/>
  <c r="D31" i="22"/>
  <c r="C31" i="22"/>
  <c r="R30" i="22"/>
  <c r="T30" i="22" s="1"/>
  <c r="Q30" i="22"/>
  <c r="U30" i="22" s="1"/>
  <c r="A30" i="22"/>
  <c r="R28" i="22"/>
  <c r="T28" i="22" s="1"/>
  <c r="Q28" i="22"/>
  <c r="U28" i="22" s="1"/>
  <c r="A28" i="22"/>
  <c r="R27" i="22"/>
  <c r="T27" i="22" s="1"/>
  <c r="Q27" i="22"/>
  <c r="U27" i="22" s="1"/>
  <c r="A27" i="22"/>
  <c r="R26" i="22"/>
  <c r="T26" i="22" s="1"/>
  <c r="Q26" i="22"/>
  <c r="A26" i="22"/>
  <c r="R24" i="22"/>
  <c r="T24" i="22" s="1"/>
  <c r="Q24" i="22"/>
  <c r="U24" i="22" s="1"/>
  <c r="A24" i="22"/>
  <c r="R23" i="22"/>
  <c r="T23" i="22" s="1"/>
  <c r="Q23" i="22"/>
  <c r="U23" i="22" s="1"/>
  <c r="A23" i="22"/>
  <c r="R22" i="22"/>
  <c r="T22" i="22" s="1"/>
  <c r="Q22" i="22"/>
  <c r="U22" i="22" s="1"/>
  <c r="A22" i="22"/>
  <c r="R20" i="22"/>
  <c r="T20" i="22" s="1"/>
  <c r="Q20" i="22"/>
  <c r="U20" i="22" s="1"/>
  <c r="A20" i="22"/>
  <c r="P18" i="22"/>
  <c r="P33" i="22" s="1"/>
  <c r="L53" i="5" s="1"/>
  <c r="O18" i="22"/>
  <c r="O33" i="22" s="1"/>
  <c r="N18" i="22"/>
  <c r="N33" i="22" s="1"/>
  <c r="L52" i="5" s="1"/>
  <c r="M18" i="22"/>
  <c r="M33" i="22" s="1"/>
  <c r="L18" i="22"/>
  <c r="L33" i="22" s="1"/>
  <c r="L51" i="5" s="1"/>
  <c r="K18" i="22"/>
  <c r="K33" i="22" s="1"/>
  <c r="J18" i="22"/>
  <c r="J33" i="22" s="1"/>
  <c r="L50" i="5" s="1"/>
  <c r="I18" i="22"/>
  <c r="I33" i="22" s="1"/>
  <c r="H18" i="22"/>
  <c r="H33" i="22" s="1"/>
  <c r="L49" i="5" s="1"/>
  <c r="G18" i="22"/>
  <c r="G33" i="22" s="1"/>
  <c r="F18" i="22"/>
  <c r="F33" i="22" s="1"/>
  <c r="L48" i="5" s="1"/>
  <c r="E18" i="22"/>
  <c r="E33" i="22" s="1"/>
  <c r="D18" i="22"/>
  <c r="D33" i="22" s="1"/>
  <c r="L47" i="5" s="1"/>
  <c r="C18" i="22"/>
  <c r="C33" i="22" s="1"/>
  <c r="R17" i="22"/>
  <c r="T17" i="22" s="1"/>
  <c r="Q17" i="22"/>
  <c r="U17" i="22" s="1"/>
  <c r="A17" i="22"/>
  <c r="R15" i="22"/>
  <c r="T15" i="22" s="1"/>
  <c r="Q15" i="22"/>
  <c r="U15" i="22" s="1"/>
  <c r="A15" i="22"/>
  <c r="R14" i="22"/>
  <c r="T14" i="22" s="1"/>
  <c r="Q14" i="22"/>
  <c r="U14" i="22" s="1"/>
  <c r="A14" i="22"/>
  <c r="R12" i="22"/>
  <c r="T12" i="22" s="1"/>
  <c r="Q12" i="22"/>
  <c r="U12" i="22" s="1"/>
  <c r="A12" i="22"/>
  <c r="R11" i="22"/>
  <c r="T11" i="22" s="1"/>
  <c r="Q11" i="22"/>
  <c r="U11" i="22" s="1"/>
  <c r="A11" i="22"/>
  <c r="R10" i="22"/>
  <c r="T10" i="22" s="1"/>
  <c r="Q10" i="22"/>
  <c r="U10" i="22" s="1"/>
  <c r="A10" i="22"/>
  <c r="R9" i="22"/>
  <c r="T9" i="22" s="1"/>
  <c r="Q9" i="22"/>
  <c r="A9" i="22"/>
  <c r="R7" i="22"/>
  <c r="T7" i="22" s="1"/>
  <c r="Q7" i="22"/>
  <c r="U7" i="22" s="1"/>
  <c r="A7" i="22"/>
  <c r="R6" i="22"/>
  <c r="T6" i="22" s="1"/>
  <c r="Q6" i="22"/>
  <c r="U6" i="22" s="1"/>
  <c r="A6" i="22"/>
  <c r="R5" i="22"/>
  <c r="Q5" i="22"/>
  <c r="U5" i="22" s="1"/>
  <c r="A5" i="22"/>
  <c r="O3" i="22"/>
  <c r="P31" i="21"/>
  <c r="O31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R30" i="21"/>
  <c r="T30" i="21" s="1"/>
  <c r="Q30" i="21"/>
  <c r="U30" i="21" s="1"/>
  <c r="A30" i="21"/>
  <c r="R28" i="21"/>
  <c r="T28" i="21" s="1"/>
  <c r="Q28" i="21"/>
  <c r="U28" i="21" s="1"/>
  <c r="A28" i="21"/>
  <c r="R27" i="21"/>
  <c r="T27" i="21" s="1"/>
  <c r="Q27" i="21"/>
  <c r="U27" i="21" s="1"/>
  <c r="A27" i="21"/>
  <c r="R26" i="21"/>
  <c r="T26" i="21" s="1"/>
  <c r="Q26" i="21"/>
  <c r="U26" i="21" s="1"/>
  <c r="A26" i="21"/>
  <c r="R24" i="21"/>
  <c r="T24" i="21" s="1"/>
  <c r="Q24" i="21"/>
  <c r="U24" i="21" s="1"/>
  <c r="A24" i="21"/>
  <c r="R23" i="21"/>
  <c r="T23" i="21" s="1"/>
  <c r="Q23" i="21"/>
  <c r="U23" i="21" s="1"/>
  <c r="A23" i="21"/>
  <c r="R22" i="21"/>
  <c r="T22" i="21" s="1"/>
  <c r="Q22" i="21"/>
  <c r="U22" i="21" s="1"/>
  <c r="A22" i="21"/>
  <c r="R20" i="21"/>
  <c r="T20" i="21" s="1"/>
  <c r="Q20" i="21"/>
  <c r="U20" i="21" s="1"/>
  <c r="A20" i="21"/>
  <c r="P18" i="21"/>
  <c r="P33" i="21" s="1"/>
  <c r="L46" i="5" s="1"/>
  <c r="O18" i="21"/>
  <c r="O33" i="21" s="1"/>
  <c r="N18" i="21"/>
  <c r="N33" i="21" s="1"/>
  <c r="L45" i="5" s="1"/>
  <c r="M18" i="21"/>
  <c r="M33" i="21" s="1"/>
  <c r="L18" i="21"/>
  <c r="L33" i="21" s="1"/>
  <c r="L44" i="5" s="1"/>
  <c r="K18" i="21"/>
  <c r="K33" i="21" s="1"/>
  <c r="J18" i="21"/>
  <c r="J33" i="21" s="1"/>
  <c r="L43" i="5" s="1"/>
  <c r="I18" i="21"/>
  <c r="I33" i="21" s="1"/>
  <c r="H18" i="21"/>
  <c r="H33" i="21" s="1"/>
  <c r="L42" i="5" s="1"/>
  <c r="G18" i="21"/>
  <c r="G33" i="21" s="1"/>
  <c r="F18" i="21"/>
  <c r="F33" i="21" s="1"/>
  <c r="L41" i="5" s="1"/>
  <c r="E18" i="21"/>
  <c r="E33" i="21" s="1"/>
  <c r="D18" i="21"/>
  <c r="D33" i="21" s="1"/>
  <c r="L40" i="5" s="1"/>
  <c r="C18" i="21"/>
  <c r="C33" i="21" s="1"/>
  <c r="R17" i="21"/>
  <c r="T17" i="21" s="1"/>
  <c r="Q17" i="21"/>
  <c r="U17" i="21" s="1"/>
  <c r="A17" i="21"/>
  <c r="R15" i="21"/>
  <c r="T15" i="21" s="1"/>
  <c r="Q15" i="21"/>
  <c r="U15" i="21" s="1"/>
  <c r="A15" i="21"/>
  <c r="R14" i="21"/>
  <c r="T14" i="21" s="1"/>
  <c r="Q14" i="21"/>
  <c r="U14" i="21" s="1"/>
  <c r="A14" i="21"/>
  <c r="R12" i="21"/>
  <c r="T12" i="21" s="1"/>
  <c r="Q12" i="21"/>
  <c r="U12" i="21" s="1"/>
  <c r="A12" i="21"/>
  <c r="R11" i="21"/>
  <c r="T11" i="21" s="1"/>
  <c r="Q11" i="21"/>
  <c r="U11" i="21" s="1"/>
  <c r="A11" i="21"/>
  <c r="R10" i="21"/>
  <c r="T10" i="21" s="1"/>
  <c r="Q10" i="21"/>
  <c r="U10" i="21" s="1"/>
  <c r="A10" i="21"/>
  <c r="T9" i="21"/>
  <c r="R9" i="21"/>
  <c r="Q9" i="21"/>
  <c r="U9" i="21" s="1"/>
  <c r="A9" i="21"/>
  <c r="R7" i="21"/>
  <c r="T7" i="21" s="1"/>
  <c r="Q7" i="21"/>
  <c r="U7" i="21" s="1"/>
  <c r="A7" i="21"/>
  <c r="R6" i="21"/>
  <c r="T6" i="21" s="1"/>
  <c r="Q6" i="21"/>
  <c r="U6" i="21" s="1"/>
  <c r="A6" i="21"/>
  <c r="R5" i="21"/>
  <c r="Q5" i="21"/>
  <c r="U5" i="21" s="1"/>
  <c r="A5" i="21"/>
  <c r="I3" i="21"/>
  <c r="O3" i="21"/>
  <c r="P31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R30" i="20"/>
  <c r="T30" i="20" s="1"/>
  <c r="Q30" i="20"/>
  <c r="U30" i="20" s="1"/>
  <c r="A30" i="20"/>
  <c r="R28" i="20"/>
  <c r="T28" i="20" s="1"/>
  <c r="Q28" i="20"/>
  <c r="U28" i="20" s="1"/>
  <c r="A28" i="20"/>
  <c r="R27" i="20"/>
  <c r="T27" i="20" s="1"/>
  <c r="Q27" i="20"/>
  <c r="U27" i="20" s="1"/>
  <c r="A27" i="20"/>
  <c r="T26" i="20"/>
  <c r="R26" i="20"/>
  <c r="Q26" i="20"/>
  <c r="U26" i="20" s="1"/>
  <c r="A26" i="20"/>
  <c r="R24" i="20"/>
  <c r="T24" i="20" s="1"/>
  <c r="Q24" i="20"/>
  <c r="U24" i="20" s="1"/>
  <c r="A24" i="20"/>
  <c r="R23" i="20"/>
  <c r="T23" i="20" s="1"/>
  <c r="Q23" i="20"/>
  <c r="U23" i="20" s="1"/>
  <c r="A23" i="20"/>
  <c r="R22" i="20"/>
  <c r="T22" i="20" s="1"/>
  <c r="Q22" i="20"/>
  <c r="U22" i="20" s="1"/>
  <c r="A22" i="20"/>
  <c r="R20" i="20"/>
  <c r="T20" i="20" s="1"/>
  <c r="Q20" i="20"/>
  <c r="U20" i="20" s="1"/>
  <c r="A20" i="20"/>
  <c r="P18" i="20"/>
  <c r="P33" i="20" s="1"/>
  <c r="O18" i="20"/>
  <c r="O33" i="20" s="1"/>
  <c r="N18" i="20"/>
  <c r="N33" i="20" s="1"/>
  <c r="M18" i="20"/>
  <c r="M33" i="20" s="1"/>
  <c r="L18" i="20"/>
  <c r="L33" i="20" s="1"/>
  <c r="D67" i="5" s="1"/>
  <c r="K18" i="20"/>
  <c r="K33" i="20" s="1"/>
  <c r="J18" i="20"/>
  <c r="J33" i="20" s="1"/>
  <c r="D66" i="5" s="1"/>
  <c r="I18" i="20"/>
  <c r="I33" i="20" s="1"/>
  <c r="H18" i="20"/>
  <c r="H33" i="20" s="1"/>
  <c r="D65" i="5" s="1"/>
  <c r="G18" i="20"/>
  <c r="G33" i="20" s="1"/>
  <c r="F18" i="20"/>
  <c r="F33" i="20" s="1"/>
  <c r="E18" i="20"/>
  <c r="E33" i="20" s="1"/>
  <c r="D18" i="20"/>
  <c r="D33" i="20" s="1"/>
  <c r="C18" i="20"/>
  <c r="C33" i="20" s="1"/>
  <c r="R17" i="20"/>
  <c r="T17" i="20" s="1"/>
  <c r="Q17" i="20"/>
  <c r="U17" i="20" s="1"/>
  <c r="A17" i="20"/>
  <c r="R15" i="20"/>
  <c r="T15" i="20" s="1"/>
  <c r="Q15" i="20"/>
  <c r="U15" i="20" s="1"/>
  <c r="A15" i="20"/>
  <c r="R14" i="20"/>
  <c r="T14" i="20" s="1"/>
  <c r="Q14" i="20"/>
  <c r="U14" i="20" s="1"/>
  <c r="A14" i="20"/>
  <c r="R12" i="20"/>
  <c r="T12" i="20" s="1"/>
  <c r="Q12" i="20"/>
  <c r="U12" i="20" s="1"/>
  <c r="A12" i="20"/>
  <c r="R11" i="20"/>
  <c r="T11" i="20" s="1"/>
  <c r="Q11" i="20"/>
  <c r="U11" i="20" s="1"/>
  <c r="A11" i="20"/>
  <c r="R10" i="20"/>
  <c r="T10" i="20" s="1"/>
  <c r="Q10" i="20"/>
  <c r="U10" i="20" s="1"/>
  <c r="A10" i="20"/>
  <c r="R9" i="20"/>
  <c r="T9" i="20" s="1"/>
  <c r="Q9" i="20"/>
  <c r="U9" i="20" s="1"/>
  <c r="A9" i="20"/>
  <c r="R7" i="20"/>
  <c r="T7" i="20" s="1"/>
  <c r="Q7" i="20"/>
  <c r="U7" i="20" s="1"/>
  <c r="A7" i="20"/>
  <c r="R6" i="20"/>
  <c r="T6" i="20" s="1"/>
  <c r="Q6" i="20"/>
  <c r="U6" i="20" s="1"/>
  <c r="A6" i="20"/>
  <c r="R5" i="20"/>
  <c r="Q5" i="20"/>
  <c r="U5" i="20" s="1"/>
  <c r="A5" i="20"/>
  <c r="M3" i="20"/>
  <c r="E3" i="20"/>
  <c r="D3" i="20"/>
  <c r="O3" i="20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T30" i="19"/>
  <c r="R30" i="19"/>
  <c r="Q30" i="19"/>
  <c r="U30" i="19" s="1"/>
  <c r="A30" i="19"/>
  <c r="R28" i="19"/>
  <c r="T28" i="19" s="1"/>
  <c r="Q28" i="19"/>
  <c r="U28" i="19" s="1"/>
  <c r="A28" i="19"/>
  <c r="U27" i="19"/>
  <c r="R27" i="19"/>
  <c r="Q27" i="19"/>
  <c r="A27" i="19"/>
  <c r="R26" i="19"/>
  <c r="T26" i="19" s="1"/>
  <c r="Q26" i="19"/>
  <c r="U26" i="19" s="1"/>
  <c r="A26" i="19"/>
  <c r="R24" i="19"/>
  <c r="T24" i="19" s="1"/>
  <c r="Q24" i="19"/>
  <c r="U24" i="19" s="1"/>
  <c r="A24" i="19"/>
  <c r="R23" i="19"/>
  <c r="T23" i="19" s="1"/>
  <c r="Q23" i="19"/>
  <c r="U23" i="19" s="1"/>
  <c r="A23" i="19"/>
  <c r="R22" i="19"/>
  <c r="T22" i="19" s="1"/>
  <c r="Q22" i="19"/>
  <c r="U22" i="19" s="1"/>
  <c r="A22" i="19"/>
  <c r="R20" i="19"/>
  <c r="T20" i="19" s="1"/>
  <c r="Q20" i="19"/>
  <c r="U20" i="19" s="1"/>
  <c r="A20" i="19"/>
  <c r="P18" i="19"/>
  <c r="P33" i="19" s="1"/>
  <c r="D62" i="5" s="1"/>
  <c r="O18" i="19"/>
  <c r="O33" i="19" s="1"/>
  <c r="N18" i="19"/>
  <c r="N33" i="19" s="1"/>
  <c r="D61" i="5" s="1"/>
  <c r="M18" i="19"/>
  <c r="M33" i="19" s="1"/>
  <c r="L18" i="19"/>
  <c r="L33" i="19" s="1"/>
  <c r="D60" i="5" s="1"/>
  <c r="K18" i="19"/>
  <c r="K33" i="19" s="1"/>
  <c r="J18" i="19"/>
  <c r="J33" i="19" s="1"/>
  <c r="D59" i="5" s="1"/>
  <c r="I18" i="19"/>
  <c r="I33" i="19" s="1"/>
  <c r="H18" i="19"/>
  <c r="H33" i="19" s="1"/>
  <c r="D58" i="5" s="1"/>
  <c r="G18" i="19"/>
  <c r="G33" i="19" s="1"/>
  <c r="F18" i="19"/>
  <c r="F33" i="19" s="1"/>
  <c r="D57" i="5" s="1"/>
  <c r="E18" i="19"/>
  <c r="E33" i="19" s="1"/>
  <c r="D18" i="19"/>
  <c r="D33" i="19" s="1"/>
  <c r="D56" i="5" s="1"/>
  <c r="C18" i="19"/>
  <c r="C33" i="19" s="1"/>
  <c r="R17" i="19"/>
  <c r="T17" i="19" s="1"/>
  <c r="Q17" i="19"/>
  <c r="U17" i="19" s="1"/>
  <c r="A17" i="19"/>
  <c r="R15" i="19"/>
  <c r="T15" i="19" s="1"/>
  <c r="Q15" i="19"/>
  <c r="U15" i="19" s="1"/>
  <c r="A15" i="19"/>
  <c r="R14" i="19"/>
  <c r="T14" i="19" s="1"/>
  <c r="Q14" i="19"/>
  <c r="U14" i="19" s="1"/>
  <c r="A14" i="19"/>
  <c r="U12" i="19"/>
  <c r="R12" i="19"/>
  <c r="T12" i="19" s="1"/>
  <c r="Q12" i="19"/>
  <c r="A12" i="19"/>
  <c r="R11" i="19"/>
  <c r="T11" i="19" s="1"/>
  <c r="Q11" i="19"/>
  <c r="U11" i="19" s="1"/>
  <c r="A11" i="19"/>
  <c r="R10" i="19"/>
  <c r="Q10" i="19"/>
  <c r="U10" i="19" s="1"/>
  <c r="A10" i="19"/>
  <c r="R9" i="19"/>
  <c r="T9" i="19" s="1"/>
  <c r="Q9" i="19"/>
  <c r="U9" i="19" s="1"/>
  <c r="A9" i="19"/>
  <c r="R7" i="19"/>
  <c r="T7" i="19" s="1"/>
  <c r="Q7" i="19"/>
  <c r="U7" i="19" s="1"/>
  <c r="A7" i="19"/>
  <c r="R6" i="19"/>
  <c r="T6" i="19" s="1"/>
  <c r="Q6" i="19"/>
  <c r="U6" i="19" s="1"/>
  <c r="A6" i="19"/>
  <c r="R5" i="19"/>
  <c r="T5" i="19" s="1"/>
  <c r="Q5" i="19"/>
  <c r="U5" i="19" s="1"/>
  <c r="A5" i="19"/>
  <c r="I3" i="19"/>
  <c r="O3" i="19"/>
  <c r="P31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R30" i="18"/>
  <c r="T30" i="18" s="1"/>
  <c r="Q30" i="18"/>
  <c r="U30" i="18" s="1"/>
  <c r="A30" i="18"/>
  <c r="T28" i="18"/>
  <c r="R28" i="18"/>
  <c r="Q28" i="18"/>
  <c r="U28" i="18" s="1"/>
  <c r="A28" i="18"/>
  <c r="R27" i="18"/>
  <c r="T27" i="18" s="1"/>
  <c r="Q27" i="18"/>
  <c r="U27" i="18" s="1"/>
  <c r="A27" i="18"/>
  <c r="R26" i="18"/>
  <c r="T26" i="18" s="1"/>
  <c r="Q26" i="18"/>
  <c r="U26" i="18" s="1"/>
  <c r="A26" i="18"/>
  <c r="R24" i="18"/>
  <c r="T24" i="18" s="1"/>
  <c r="Q24" i="18"/>
  <c r="U24" i="18" s="1"/>
  <c r="A24" i="18"/>
  <c r="R23" i="18"/>
  <c r="T23" i="18" s="1"/>
  <c r="Q23" i="18"/>
  <c r="U23" i="18" s="1"/>
  <c r="A23" i="18"/>
  <c r="R22" i="18"/>
  <c r="T22" i="18" s="1"/>
  <c r="Q22" i="18"/>
  <c r="U22" i="18" s="1"/>
  <c r="A22" i="18"/>
  <c r="R20" i="18"/>
  <c r="T20" i="18" s="1"/>
  <c r="Q20" i="18"/>
  <c r="U20" i="18" s="1"/>
  <c r="A20" i="18"/>
  <c r="P18" i="18"/>
  <c r="P33" i="18" s="1"/>
  <c r="D55" i="5" s="1"/>
  <c r="O18" i="18"/>
  <c r="O33" i="18" s="1"/>
  <c r="N18" i="18"/>
  <c r="N33" i="18" s="1"/>
  <c r="D54" i="5" s="1"/>
  <c r="M18" i="18"/>
  <c r="M33" i="18" s="1"/>
  <c r="L18" i="18"/>
  <c r="L33" i="18" s="1"/>
  <c r="D53" i="5" s="1"/>
  <c r="K18" i="18"/>
  <c r="K33" i="18" s="1"/>
  <c r="J18" i="18"/>
  <c r="J33" i="18" s="1"/>
  <c r="D52" i="5" s="1"/>
  <c r="I18" i="18"/>
  <c r="I33" i="18" s="1"/>
  <c r="H18" i="18"/>
  <c r="H33" i="18" s="1"/>
  <c r="D51" i="5" s="1"/>
  <c r="G18" i="18"/>
  <c r="G33" i="18" s="1"/>
  <c r="F18" i="18"/>
  <c r="F33" i="18" s="1"/>
  <c r="D50" i="5" s="1"/>
  <c r="E18" i="18"/>
  <c r="E33" i="18" s="1"/>
  <c r="D18" i="18"/>
  <c r="D33" i="18" s="1"/>
  <c r="D49" i="5" s="1"/>
  <c r="C18" i="18"/>
  <c r="C33" i="18" s="1"/>
  <c r="R17" i="18"/>
  <c r="T17" i="18" s="1"/>
  <c r="Q17" i="18"/>
  <c r="U17" i="18" s="1"/>
  <c r="A17" i="18"/>
  <c r="R15" i="18"/>
  <c r="T15" i="18" s="1"/>
  <c r="Q15" i="18"/>
  <c r="U15" i="18" s="1"/>
  <c r="A15" i="18"/>
  <c r="R14" i="18"/>
  <c r="T14" i="18" s="1"/>
  <c r="Q14" i="18"/>
  <c r="U14" i="18" s="1"/>
  <c r="A14" i="18"/>
  <c r="R12" i="18"/>
  <c r="T12" i="18" s="1"/>
  <c r="Q12" i="18"/>
  <c r="U12" i="18" s="1"/>
  <c r="A12" i="18"/>
  <c r="R11" i="18"/>
  <c r="T11" i="18" s="1"/>
  <c r="Q11" i="18"/>
  <c r="U11" i="18" s="1"/>
  <c r="A11" i="18"/>
  <c r="R10" i="18"/>
  <c r="T10" i="18" s="1"/>
  <c r="Q10" i="18"/>
  <c r="U10" i="18" s="1"/>
  <c r="A10" i="18"/>
  <c r="R9" i="18"/>
  <c r="T9" i="18" s="1"/>
  <c r="Q9" i="18"/>
  <c r="U9" i="18" s="1"/>
  <c r="A9" i="18"/>
  <c r="R7" i="18"/>
  <c r="T7" i="18" s="1"/>
  <c r="Q7" i="18"/>
  <c r="U7" i="18" s="1"/>
  <c r="A7" i="18"/>
  <c r="R6" i="18"/>
  <c r="T6" i="18" s="1"/>
  <c r="Q6" i="18"/>
  <c r="U6" i="18" s="1"/>
  <c r="A6" i="18"/>
  <c r="R5" i="18"/>
  <c r="Q5" i="18"/>
  <c r="U5" i="18" s="1"/>
  <c r="A5" i="18"/>
  <c r="O3" i="18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R30" i="17"/>
  <c r="T30" i="17" s="1"/>
  <c r="Q30" i="17"/>
  <c r="U30" i="17" s="1"/>
  <c r="A30" i="17"/>
  <c r="R28" i="17"/>
  <c r="T28" i="17" s="1"/>
  <c r="Q28" i="17"/>
  <c r="U28" i="17" s="1"/>
  <c r="A28" i="17"/>
  <c r="R27" i="17"/>
  <c r="T27" i="17" s="1"/>
  <c r="Q27" i="17"/>
  <c r="U27" i="17" s="1"/>
  <c r="A27" i="17"/>
  <c r="R26" i="17"/>
  <c r="T26" i="17" s="1"/>
  <c r="Q26" i="17"/>
  <c r="U26" i="17" s="1"/>
  <c r="A26" i="17"/>
  <c r="T24" i="17"/>
  <c r="R24" i="17"/>
  <c r="Q24" i="17"/>
  <c r="U24" i="17" s="1"/>
  <c r="A24" i="17"/>
  <c r="R23" i="17"/>
  <c r="T23" i="17" s="1"/>
  <c r="Q23" i="17"/>
  <c r="U23" i="17" s="1"/>
  <c r="A23" i="17"/>
  <c r="R22" i="17"/>
  <c r="T22" i="17" s="1"/>
  <c r="Q22" i="17"/>
  <c r="U22" i="17" s="1"/>
  <c r="A22" i="17"/>
  <c r="R20" i="17"/>
  <c r="T20" i="17" s="1"/>
  <c r="Q20" i="17"/>
  <c r="U20" i="17" s="1"/>
  <c r="A20" i="17"/>
  <c r="P18" i="17"/>
  <c r="P33" i="17" s="1"/>
  <c r="D48" i="5" s="1"/>
  <c r="O18" i="17"/>
  <c r="O33" i="17" s="1"/>
  <c r="N18" i="17"/>
  <c r="N33" i="17" s="1"/>
  <c r="D47" i="5" s="1"/>
  <c r="M18" i="17"/>
  <c r="M33" i="17" s="1"/>
  <c r="L18" i="17"/>
  <c r="L33" i="17" s="1"/>
  <c r="D46" i="5" s="1"/>
  <c r="K18" i="17"/>
  <c r="K33" i="17" s="1"/>
  <c r="J18" i="17"/>
  <c r="J33" i="17" s="1"/>
  <c r="D45" i="5" s="1"/>
  <c r="I18" i="17"/>
  <c r="I33" i="17" s="1"/>
  <c r="H18" i="17"/>
  <c r="H33" i="17" s="1"/>
  <c r="D44" i="5" s="1"/>
  <c r="G18" i="17"/>
  <c r="G33" i="17" s="1"/>
  <c r="F18" i="17"/>
  <c r="F33" i="17" s="1"/>
  <c r="D43" i="5" s="1"/>
  <c r="E18" i="17"/>
  <c r="E33" i="17" s="1"/>
  <c r="D18" i="17"/>
  <c r="D33" i="17" s="1"/>
  <c r="D42" i="5" s="1"/>
  <c r="C18" i="17"/>
  <c r="C33" i="17" s="1"/>
  <c r="R17" i="17"/>
  <c r="T17" i="17" s="1"/>
  <c r="Q17" i="17"/>
  <c r="U17" i="17" s="1"/>
  <c r="A17" i="17"/>
  <c r="R15" i="17"/>
  <c r="T15" i="17" s="1"/>
  <c r="Q15" i="17"/>
  <c r="U15" i="17" s="1"/>
  <c r="A15" i="17"/>
  <c r="R14" i="17"/>
  <c r="T14" i="17" s="1"/>
  <c r="Q14" i="17"/>
  <c r="U14" i="17" s="1"/>
  <c r="A14" i="17"/>
  <c r="R12" i="17"/>
  <c r="T12" i="17" s="1"/>
  <c r="Q12" i="17"/>
  <c r="U12" i="17" s="1"/>
  <c r="A12" i="17"/>
  <c r="R11" i="17"/>
  <c r="T11" i="17" s="1"/>
  <c r="Q11" i="17"/>
  <c r="U11" i="17" s="1"/>
  <c r="A11" i="17"/>
  <c r="R10" i="17"/>
  <c r="T10" i="17" s="1"/>
  <c r="Q10" i="17"/>
  <c r="U10" i="17" s="1"/>
  <c r="A10" i="17"/>
  <c r="R9" i="17"/>
  <c r="T9" i="17" s="1"/>
  <c r="Q9" i="17"/>
  <c r="U9" i="17" s="1"/>
  <c r="A9" i="17"/>
  <c r="R7" i="17"/>
  <c r="T7" i="17" s="1"/>
  <c r="Q7" i="17"/>
  <c r="U7" i="17" s="1"/>
  <c r="A7" i="17"/>
  <c r="R6" i="17"/>
  <c r="T6" i="17" s="1"/>
  <c r="Q6" i="17"/>
  <c r="U6" i="17" s="1"/>
  <c r="A6" i="17"/>
  <c r="R5" i="17"/>
  <c r="Q5" i="17"/>
  <c r="U5" i="17" s="1"/>
  <c r="A5" i="17"/>
  <c r="O3" i="17"/>
  <c r="P31" i="16"/>
  <c r="O31" i="16"/>
  <c r="N31" i="16"/>
  <c r="M31" i="16"/>
  <c r="L31" i="16"/>
  <c r="K31" i="16"/>
  <c r="J31" i="16"/>
  <c r="I31" i="16"/>
  <c r="H31" i="16"/>
  <c r="G31" i="16"/>
  <c r="F31" i="16"/>
  <c r="E31" i="16"/>
  <c r="D31" i="16"/>
  <c r="C31" i="16"/>
  <c r="T30" i="16"/>
  <c r="R30" i="16"/>
  <c r="Q30" i="16"/>
  <c r="U30" i="16" s="1"/>
  <c r="A30" i="16"/>
  <c r="R28" i="16"/>
  <c r="T28" i="16" s="1"/>
  <c r="Q28" i="16"/>
  <c r="U28" i="16" s="1"/>
  <c r="A28" i="16"/>
  <c r="R27" i="16"/>
  <c r="T27" i="16" s="1"/>
  <c r="Q27" i="16"/>
  <c r="U27" i="16" s="1"/>
  <c r="A27" i="16"/>
  <c r="R26" i="16"/>
  <c r="T26" i="16" s="1"/>
  <c r="Q26" i="16"/>
  <c r="U26" i="16" s="1"/>
  <c r="A26" i="16"/>
  <c r="R24" i="16"/>
  <c r="T24" i="16" s="1"/>
  <c r="Q24" i="16"/>
  <c r="U24" i="16" s="1"/>
  <c r="A24" i="16"/>
  <c r="U23" i="16"/>
  <c r="R23" i="16"/>
  <c r="T23" i="16" s="1"/>
  <c r="Q23" i="16"/>
  <c r="A23" i="16"/>
  <c r="R22" i="16"/>
  <c r="T22" i="16" s="1"/>
  <c r="Q22" i="16"/>
  <c r="U22" i="16" s="1"/>
  <c r="A22" i="16"/>
  <c r="R20" i="16"/>
  <c r="T20" i="16" s="1"/>
  <c r="Q20" i="16"/>
  <c r="U20" i="16" s="1"/>
  <c r="A20" i="16"/>
  <c r="P18" i="16"/>
  <c r="P33" i="16" s="1"/>
  <c r="D41" i="5" s="1"/>
  <c r="O18" i="16"/>
  <c r="O33" i="16" s="1"/>
  <c r="N18" i="16"/>
  <c r="N33" i="16" s="1"/>
  <c r="D40" i="5" s="1"/>
  <c r="M18" i="16"/>
  <c r="M33" i="16" s="1"/>
  <c r="L18" i="16"/>
  <c r="L33" i="16" s="1"/>
  <c r="D39" i="5" s="1"/>
  <c r="K18" i="16"/>
  <c r="K33" i="16" s="1"/>
  <c r="J18" i="16"/>
  <c r="J33" i="16" s="1"/>
  <c r="D38" i="5" s="1"/>
  <c r="I18" i="16"/>
  <c r="I33" i="16" s="1"/>
  <c r="H18" i="16"/>
  <c r="H33" i="16" s="1"/>
  <c r="G18" i="16"/>
  <c r="G33" i="16" s="1"/>
  <c r="F18" i="16"/>
  <c r="F33" i="16" s="1"/>
  <c r="E18" i="16"/>
  <c r="E33" i="16" s="1"/>
  <c r="D18" i="16"/>
  <c r="D33" i="16" s="1"/>
  <c r="C18" i="16"/>
  <c r="C33" i="16" s="1"/>
  <c r="R17" i="16"/>
  <c r="T17" i="16" s="1"/>
  <c r="Q17" i="16"/>
  <c r="U17" i="16" s="1"/>
  <c r="A17" i="16"/>
  <c r="R15" i="16"/>
  <c r="T15" i="16" s="1"/>
  <c r="Q15" i="16"/>
  <c r="U15" i="16" s="1"/>
  <c r="A15" i="16"/>
  <c r="R14" i="16"/>
  <c r="T14" i="16" s="1"/>
  <c r="Q14" i="16"/>
  <c r="U14" i="16" s="1"/>
  <c r="A14" i="16"/>
  <c r="R12" i="16"/>
  <c r="T12" i="16" s="1"/>
  <c r="Q12" i="16"/>
  <c r="U12" i="16" s="1"/>
  <c r="A12" i="16"/>
  <c r="R11" i="16"/>
  <c r="T11" i="16" s="1"/>
  <c r="Q11" i="16"/>
  <c r="U11" i="16" s="1"/>
  <c r="A11" i="16"/>
  <c r="R10" i="16"/>
  <c r="T10" i="16" s="1"/>
  <c r="Q10" i="16"/>
  <c r="U10" i="16" s="1"/>
  <c r="A10" i="16"/>
  <c r="R9" i="16"/>
  <c r="T9" i="16" s="1"/>
  <c r="Q9" i="16"/>
  <c r="U9" i="16" s="1"/>
  <c r="A9" i="16"/>
  <c r="R7" i="16"/>
  <c r="T7" i="16" s="1"/>
  <c r="Q7" i="16"/>
  <c r="U7" i="16" s="1"/>
  <c r="A7" i="16"/>
  <c r="R6" i="16"/>
  <c r="T6" i="16" s="1"/>
  <c r="Q6" i="16"/>
  <c r="U6" i="16" s="1"/>
  <c r="A6" i="16"/>
  <c r="R5" i="16"/>
  <c r="Q5" i="16"/>
  <c r="U5" i="16" s="1"/>
  <c r="A5" i="16"/>
  <c r="O3" i="16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R30" i="15"/>
  <c r="T30" i="15" s="1"/>
  <c r="Q30" i="15"/>
  <c r="U30" i="15" s="1"/>
  <c r="A30" i="15"/>
  <c r="R28" i="15"/>
  <c r="T28" i="15" s="1"/>
  <c r="Q28" i="15"/>
  <c r="U28" i="15" s="1"/>
  <c r="A28" i="15"/>
  <c r="R27" i="15"/>
  <c r="T27" i="15" s="1"/>
  <c r="Q27" i="15"/>
  <c r="U27" i="15" s="1"/>
  <c r="A27" i="15"/>
  <c r="R26" i="15"/>
  <c r="T26" i="15" s="1"/>
  <c r="Q26" i="15"/>
  <c r="U26" i="15" s="1"/>
  <c r="A26" i="15"/>
  <c r="R24" i="15"/>
  <c r="T24" i="15" s="1"/>
  <c r="Q24" i="15"/>
  <c r="U24" i="15" s="1"/>
  <c r="A24" i="15"/>
  <c r="R23" i="15"/>
  <c r="T23" i="15" s="1"/>
  <c r="Q23" i="15"/>
  <c r="U23" i="15" s="1"/>
  <c r="A23" i="15"/>
  <c r="R22" i="15"/>
  <c r="T22" i="15" s="1"/>
  <c r="Q22" i="15"/>
  <c r="U22" i="15" s="1"/>
  <c r="A22" i="15"/>
  <c r="R20" i="15"/>
  <c r="T20" i="15" s="1"/>
  <c r="Q20" i="15"/>
  <c r="U20" i="15" s="1"/>
  <c r="A20" i="15"/>
  <c r="P18" i="15"/>
  <c r="P33" i="15" s="1"/>
  <c r="O18" i="15"/>
  <c r="O33" i="15" s="1"/>
  <c r="N18" i="15"/>
  <c r="N33" i="15" s="1"/>
  <c r="M18" i="15"/>
  <c r="M33" i="15" s="1"/>
  <c r="L18" i="15"/>
  <c r="L33" i="15" s="1"/>
  <c r="K18" i="15"/>
  <c r="K33" i="15" s="1"/>
  <c r="J18" i="15"/>
  <c r="J33" i="15" s="1"/>
  <c r="I18" i="15"/>
  <c r="I33" i="15" s="1"/>
  <c r="H18" i="15"/>
  <c r="H33" i="15" s="1"/>
  <c r="G18" i="15"/>
  <c r="G33" i="15" s="1"/>
  <c r="F18" i="15"/>
  <c r="F33" i="15" s="1"/>
  <c r="E18" i="15"/>
  <c r="E33" i="15" s="1"/>
  <c r="D18" i="15"/>
  <c r="D33" i="15" s="1"/>
  <c r="C18" i="15"/>
  <c r="C33" i="15" s="1"/>
  <c r="R17" i="15"/>
  <c r="T17" i="15" s="1"/>
  <c r="Q17" i="15"/>
  <c r="U17" i="15" s="1"/>
  <c r="A17" i="15"/>
  <c r="R15" i="15"/>
  <c r="T15" i="15" s="1"/>
  <c r="Q15" i="15"/>
  <c r="U15" i="15" s="1"/>
  <c r="A15" i="15"/>
  <c r="R14" i="15"/>
  <c r="T14" i="15" s="1"/>
  <c r="Q14" i="15"/>
  <c r="U14" i="15" s="1"/>
  <c r="A14" i="15"/>
  <c r="R12" i="15"/>
  <c r="T12" i="15" s="1"/>
  <c r="Q12" i="15"/>
  <c r="U12" i="15" s="1"/>
  <c r="A12" i="15"/>
  <c r="R11" i="15"/>
  <c r="T11" i="15" s="1"/>
  <c r="Q11" i="15"/>
  <c r="U11" i="15" s="1"/>
  <c r="A11" i="15"/>
  <c r="R10" i="15"/>
  <c r="T10" i="15" s="1"/>
  <c r="Q10" i="15"/>
  <c r="U10" i="15" s="1"/>
  <c r="A10" i="15"/>
  <c r="R9" i="15"/>
  <c r="T9" i="15" s="1"/>
  <c r="Q9" i="15"/>
  <c r="U9" i="15" s="1"/>
  <c r="A9" i="15"/>
  <c r="R7" i="15"/>
  <c r="T7" i="15" s="1"/>
  <c r="Q7" i="15"/>
  <c r="U7" i="15" s="1"/>
  <c r="A7" i="15"/>
  <c r="R6" i="15"/>
  <c r="T6" i="15" s="1"/>
  <c r="Q6" i="15"/>
  <c r="U6" i="15" s="1"/>
  <c r="A6" i="15"/>
  <c r="R5" i="15"/>
  <c r="Q5" i="15"/>
  <c r="U5" i="15" s="1"/>
  <c r="A5" i="15"/>
  <c r="O3" i="15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R30" i="14"/>
  <c r="T30" i="14" s="1"/>
  <c r="Q30" i="14"/>
  <c r="U30" i="14" s="1"/>
  <c r="A30" i="14"/>
  <c r="R28" i="14"/>
  <c r="T28" i="14" s="1"/>
  <c r="Q28" i="14"/>
  <c r="U28" i="14" s="1"/>
  <c r="A28" i="14"/>
  <c r="R27" i="14"/>
  <c r="Q27" i="14"/>
  <c r="U27" i="14" s="1"/>
  <c r="A27" i="14"/>
  <c r="R26" i="14"/>
  <c r="T26" i="14" s="1"/>
  <c r="Q26" i="14"/>
  <c r="U26" i="14" s="1"/>
  <c r="A26" i="14"/>
  <c r="R24" i="14"/>
  <c r="T24" i="14" s="1"/>
  <c r="Q24" i="14"/>
  <c r="U24" i="14" s="1"/>
  <c r="A24" i="14"/>
  <c r="R23" i="14"/>
  <c r="T23" i="14" s="1"/>
  <c r="Q23" i="14"/>
  <c r="U23" i="14" s="1"/>
  <c r="A23" i="14"/>
  <c r="R22" i="14"/>
  <c r="T22" i="14" s="1"/>
  <c r="Q22" i="14"/>
  <c r="U22" i="14" s="1"/>
  <c r="A22" i="14"/>
  <c r="R20" i="14"/>
  <c r="T20" i="14" s="1"/>
  <c r="Q20" i="14"/>
  <c r="U20" i="14" s="1"/>
  <c r="A20" i="14"/>
  <c r="P18" i="14"/>
  <c r="P33" i="14" s="1"/>
  <c r="O18" i="14"/>
  <c r="O33" i="14" s="1"/>
  <c r="N18" i="14"/>
  <c r="N33" i="14" s="1"/>
  <c r="M18" i="14"/>
  <c r="M33" i="14" s="1"/>
  <c r="L18" i="14"/>
  <c r="L33" i="14" s="1"/>
  <c r="K18" i="14"/>
  <c r="K33" i="14" s="1"/>
  <c r="J18" i="14"/>
  <c r="J33" i="14" s="1"/>
  <c r="I18" i="14"/>
  <c r="I33" i="14" s="1"/>
  <c r="H18" i="14"/>
  <c r="H33" i="14" s="1"/>
  <c r="G18" i="14"/>
  <c r="G33" i="14" s="1"/>
  <c r="F18" i="14"/>
  <c r="F33" i="14" s="1"/>
  <c r="E18" i="14"/>
  <c r="E33" i="14" s="1"/>
  <c r="D18" i="14"/>
  <c r="D33" i="14" s="1"/>
  <c r="C18" i="14"/>
  <c r="C33" i="14" s="1"/>
  <c r="R17" i="14"/>
  <c r="T17" i="14" s="1"/>
  <c r="Q17" i="14"/>
  <c r="U17" i="14" s="1"/>
  <c r="A17" i="14"/>
  <c r="R15" i="14"/>
  <c r="T15" i="14" s="1"/>
  <c r="Q15" i="14"/>
  <c r="U15" i="14" s="1"/>
  <c r="A15" i="14"/>
  <c r="R14" i="14"/>
  <c r="T14" i="14" s="1"/>
  <c r="Q14" i="14"/>
  <c r="U14" i="14" s="1"/>
  <c r="A14" i="14"/>
  <c r="R12" i="14"/>
  <c r="T12" i="14" s="1"/>
  <c r="Q12" i="14"/>
  <c r="U12" i="14" s="1"/>
  <c r="A12" i="14"/>
  <c r="R11" i="14"/>
  <c r="T11" i="14" s="1"/>
  <c r="Q11" i="14"/>
  <c r="U11" i="14" s="1"/>
  <c r="A11" i="14"/>
  <c r="R10" i="14"/>
  <c r="Q10" i="14"/>
  <c r="U10" i="14" s="1"/>
  <c r="A10" i="14"/>
  <c r="R9" i="14"/>
  <c r="T9" i="14" s="1"/>
  <c r="Q9" i="14"/>
  <c r="U9" i="14" s="1"/>
  <c r="A9" i="14"/>
  <c r="R7" i="14"/>
  <c r="T7" i="14" s="1"/>
  <c r="Q7" i="14"/>
  <c r="U7" i="14" s="1"/>
  <c r="A7" i="14"/>
  <c r="R6" i="14"/>
  <c r="T6" i="14" s="1"/>
  <c r="Q6" i="14"/>
  <c r="U6" i="14" s="1"/>
  <c r="A6" i="14"/>
  <c r="R5" i="14"/>
  <c r="Q5" i="14"/>
  <c r="U5" i="14" s="1"/>
  <c r="A5" i="14"/>
  <c r="I3" i="14"/>
  <c r="O3" i="14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R30" i="13"/>
  <c r="T30" i="13" s="1"/>
  <c r="Q30" i="13"/>
  <c r="U30" i="13" s="1"/>
  <c r="A30" i="13"/>
  <c r="R28" i="13"/>
  <c r="T28" i="13" s="1"/>
  <c r="Q28" i="13"/>
  <c r="U28" i="13" s="1"/>
  <c r="A28" i="13"/>
  <c r="R27" i="13"/>
  <c r="T27" i="13" s="1"/>
  <c r="Q27" i="13"/>
  <c r="U27" i="13" s="1"/>
  <c r="A27" i="13"/>
  <c r="R26" i="13"/>
  <c r="T26" i="13" s="1"/>
  <c r="Q26" i="13"/>
  <c r="U26" i="13" s="1"/>
  <c r="A26" i="13"/>
  <c r="R24" i="13"/>
  <c r="T24" i="13" s="1"/>
  <c r="Q24" i="13"/>
  <c r="U24" i="13" s="1"/>
  <c r="A24" i="13"/>
  <c r="R23" i="13"/>
  <c r="T23" i="13" s="1"/>
  <c r="Q23" i="13"/>
  <c r="U23" i="13" s="1"/>
  <c r="A23" i="13"/>
  <c r="R22" i="13"/>
  <c r="T22" i="13" s="1"/>
  <c r="Q22" i="13"/>
  <c r="U22" i="13" s="1"/>
  <c r="A22" i="13"/>
  <c r="R20" i="13"/>
  <c r="T20" i="13" s="1"/>
  <c r="Q20" i="13"/>
  <c r="U20" i="13" s="1"/>
  <c r="A20" i="13"/>
  <c r="P18" i="13"/>
  <c r="P33" i="13" s="1"/>
  <c r="O18" i="13"/>
  <c r="O33" i="13" s="1"/>
  <c r="N18" i="13"/>
  <c r="N33" i="13" s="1"/>
  <c r="M18" i="13"/>
  <c r="M33" i="13" s="1"/>
  <c r="L18" i="13"/>
  <c r="L33" i="13" s="1"/>
  <c r="K18" i="13"/>
  <c r="K33" i="13" s="1"/>
  <c r="J18" i="13"/>
  <c r="J33" i="13" s="1"/>
  <c r="I18" i="13"/>
  <c r="I33" i="13" s="1"/>
  <c r="H18" i="13"/>
  <c r="H33" i="13" s="1"/>
  <c r="G18" i="13"/>
  <c r="G33" i="13" s="1"/>
  <c r="F18" i="13"/>
  <c r="F33" i="13" s="1"/>
  <c r="E18" i="13"/>
  <c r="E33" i="13" s="1"/>
  <c r="D18" i="13"/>
  <c r="D33" i="13" s="1"/>
  <c r="C18" i="13"/>
  <c r="C33" i="13" s="1"/>
  <c r="R17" i="13"/>
  <c r="T17" i="13" s="1"/>
  <c r="Q17" i="13"/>
  <c r="U17" i="13" s="1"/>
  <c r="A17" i="13"/>
  <c r="R15" i="13"/>
  <c r="T15" i="13" s="1"/>
  <c r="Q15" i="13"/>
  <c r="U15" i="13" s="1"/>
  <c r="A15" i="13"/>
  <c r="R14" i="13"/>
  <c r="T14" i="13" s="1"/>
  <c r="Q14" i="13"/>
  <c r="U14" i="13" s="1"/>
  <c r="A14" i="13"/>
  <c r="R12" i="13"/>
  <c r="T12" i="13" s="1"/>
  <c r="Q12" i="13"/>
  <c r="U12" i="13" s="1"/>
  <c r="A12" i="13"/>
  <c r="R11" i="13"/>
  <c r="T11" i="13" s="1"/>
  <c r="Q11" i="13"/>
  <c r="U11" i="13" s="1"/>
  <c r="A11" i="13"/>
  <c r="R10" i="13"/>
  <c r="T10" i="13" s="1"/>
  <c r="Q10" i="13"/>
  <c r="U10" i="13" s="1"/>
  <c r="A10" i="13"/>
  <c r="R9" i="13"/>
  <c r="T9" i="13" s="1"/>
  <c r="Q9" i="13"/>
  <c r="U9" i="13" s="1"/>
  <c r="A9" i="13"/>
  <c r="R7" i="13"/>
  <c r="T7" i="13" s="1"/>
  <c r="Q7" i="13"/>
  <c r="U7" i="13" s="1"/>
  <c r="A7" i="13"/>
  <c r="R6" i="13"/>
  <c r="T6" i="13" s="1"/>
  <c r="Q6" i="13"/>
  <c r="U6" i="13" s="1"/>
  <c r="A6" i="13"/>
  <c r="R5" i="13"/>
  <c r="Q5" i="13"/>
  <c r="U5" i="13" s="1"/>
  <c r="A5" i="13"/>
  <c r="O3" i="13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R30" i="12"/>
  <c r="T30" i="12" s="1"/>
  <c r="Q30" i="12"/>
  <c r="U30" i="12" s="1"/>
  <c r="A30" i="12"/>
  <c r="R28" i="12"/>
  <c r="T28" i="12" s="1"/>
  <c r="Q28" i="12"/>
  <c r="U28" i="12" s="1"/>
  <c r="A28" i="12"/>
  <c r="R27" i="12"/>
  <c r="T27" i="12" s="1"/>
  <c r="Q27" i="12"/>
  <c r="U27" i="12" s="1"/>
  <c r="A27" i="12"/>
  <c r="R26" i="12"/>
  <c r="T26" i="12" s="1"/>
  <c r="Q26" i="12"/>
  <c r="U26" i="12" s="1"/>
  <c r="A26" i="12"/>
  <c r="R24" i="12"/>
  <c r="T24" i="12" s="1"/>
  <c r="Q24" i="12"/>
  <c r="U24" i="12" s="1"/>
  <c r="A24" i="12"/>
  <c r="R23" i="12"/>
  <c r="T23" i="12" s="1"/>
  <c r="Q23" i="12"/>
  <c r="U23" i="12" s="1"/>
  <c r="A23" i="12"/>
  <c r="R22" i="12"/>
  <c r="T22" i="12" s="1"/>
  <c r="Q22" i="12"/>
  <c r="U22" i="12" s="1"/>
  <c r="A22" i="12"/>
  <c r="R20" i="12"/>
  <c r="T20" i="12" s="1"/>
  <c r="Q20" i="12"/>
  <c r="U20" i="12" s="1"/>
  <c r="A20" i="12"/>
  <c r="P18" i="12"/>
  <c r="P33" i="12" s="1"/>
  <c r="O18" i="12"/>
  <c r="O33" i="12" s="1"/>
  <c r="N18" i="12"/>
  <c r="N33" i="12" s="1"/>
  <c r="M18" i="12"/>
  <c r="M33" i="12" s="1"/>
  <c r="L18" i="12"/>
  <c r="L33" i="12" s="1"/>
  <c r="K18" i="12"/>
  <c r="K33" i="12" s="1"/>
  <c r="J18" i="12"/>
  <c r="J33" i="12" s="1"/>
  <c r="I18" i="12"/>
  <c r="I33" i="12" s="1"/>
  <c r="H18" i="12"/>
  <c r="H33" i="12" s="1"/>
  <c r="G18" i="12"/>
  <c r="G33" i="12" s="1"/>
  <c r="F18" i="12"/>
  <c r="F33" i="12" s="1"/>
  <c r="E18" i="12"/>
  <c r="E33" i="12" s="1"/>
  <c r="D18" i="12"/>
  <c r="D33" i="12" s="1"/>
  <c r="C18" i="12"/>
  <c r="C33" i="12" s="1"/>
  <c r="R17" i="12"/>
  <c r="T17" i="12" s="1"/>
  <c r="Q17" i="12"/>
  <c r="U17" i="12" s="1"/>
  <c r="A17" i="12"/>
  <c r="R15" i="12"/>
  <c r="T15" i="12" s="1"/>
  <c r="Q15" i="12"/>
  <c r="U15" i="12" s="1"/>
  <c r="A15" i="12"/>
  <c r="R14" i="12"/>
  <c r="T14" i="12" s="1"/>
  <c r="Q14" i="12"/>
  <c r="U14" i="12" s="1"/>
  <c r="A14" i="12"/>
  <c r="R12" i="12"/>
  <c r="T12" i="12" s="1"/>
  <c r="Q12" i="12"/>
  <c r="U12" i="12" s="1"/>
  <c r="A12" i="12"/>
  <c r="R11" i="12"/>
  <c r="T11" i="12" s="1"/>
  <c r="Q11" i="12"/>
  <c r="U11" i="12" s="1"/>
  <c r="A11" i="12"/>
  <c r="R10" i="12"/>
  <c r="T10" i="12" s="1"/>
  <c r="Q10" i="12"/>
  <c r="U10" i="12" s="1"/>
  <c r="A10" i="12"/>
  <c r="R9" i="12"/>
  <c r="T9" i="12" s="1"/>
  <c r="Q9" i="12"/>
  <c r="U9" i="12" s="1"/>
  <c r="A9" i="12"/>
  <c r="R7" i="12"/>
  <c r="T7" i="12" s="1"/>
  <c r="Q7" i="12"/>
  <c r="U7" i="12" s="1"/>
  <c r="A7" i="12"/>
  <c r="R6" i="12"/>
  <c r="T6" i="12" s="1"/>
  <c r="Q6" i="12"/>
  <c r="U6" i="12" s="1"/>
  <c r="A6" i="12"/>
  <c r="R5" i="12"/>
  <c r="Q5" i="12"/>
  <c r="U5" i="12" s="1"/>
  <c r="A5" i="12"/>
  <c r="M3" i="12"/>
  <c r="E3" i="12"/>
  <c r="D3" i="12"/>
  <c r="O3" i="12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R30" i="11"/>
  <c r="T30" i="11" s="1"/>
  <c r="Q30" i="11"/>
  <c r="U30" i="11" s="1"/>
  <c r="A30" i="11"/>
  <c r="R28" i="11"/>
  <c r="T28" i="11" s="1"/>
  <c r="Q28" i="11"/>
  <c r="U28" i="11" s="1"/>
  <c r="A28" i="11"/>
  <c r="R27" i="11"/>
  <c r="T27" i="11" s="1"/>
  <c r="Q27" i="11"/>
  <c r="U27" i="11" s="1"/>
  <c r="A27" i="11"/>
  <c r="R26" i="11"/>
  <c r="T26" i="11" s="1"/>
  <c r="Q26" i="11"/>
  <c r="A26" i="11"/>
  <c r="R24" i="11"/>
  <c r="T24" i="11" s="1"/>
  <c r="Q24" i="11"/>
  <c r="U24" i="11" s="1"/>
  <c r="A24" i="11"/>
  <c r="R23" i="11"/>
  <c r="T23" i="11" s="1"/>
  <c r="Q23" i="11"/>
  <c r="U23" i="11" s="1"/>
  <c r="A23" i="11"/>
  <c r="R22" i="11"/>
  <c r="T22" i="11" s="1"/>
  <c r="Q22" i="11"/>
  <c r="U22" i="11" s="1"/>
  <c r="A22" i="11"/>
  <c r="R20" i="11"/>
  <c r="T20" i="11" s="1"/>
  <c r="Q20" i="11"/>
  <c r="U20" i="11" s="1"/>
  <c r="A20" i="11"/>
  <c r="P18" i="11"/>
  <c r="P33" i="11" s="1"/>
  <c r="O18" i="11"/>
  <c r="O33" i="11" s="1"/>
  <c r="N18" i="11"/>
  <c r="N33" i="11" s="1"/>
  <c r="M18" i="11"/>
  <c r="M33" i="11" s="1"/>
  <c r="L18" i="11"/>
  <c r="L33" i="11" s="1"/>
  <c r="K18" i="11"/>
  <c r="K33" i="11" s="1"/>
  <c r="J18" i="11"/>
  <c r="J33" i="11" s="1"/>
  <c r="I18" i="11"/>
  <c r="I33" i="11" s="1"/>
  <c r="H18" i="11"/>
  <c r="H33" i="11" s="1"/>
  <c r="G18" i="11"/>
  <c r="G33" i="11" s="1"/>
  <c r="F18" i="11"/>
  <c r="F33" i="11" s="1"/>
  <c r="E18" i="11"/>
  <c r="E33" i="11" s="1"/>
  <c r="D18" i="11"/>
  <c r="D33" i="11" s="1"/>
  <c r="C18" i="11"/>
  <c r="C33" i="11" s="1"/>
  <c r="R17" i="11"/>
  <c r="T17" i="11" s="1"/>
  <c r="Q17" i="11"/>
  <c r="U17" i="11" s="1"/>
  <c r="A17" i="11"/>
  <c r="R15" i="11"/>
  <c r="T15" i="11" s="1"/>
  <c r="Q15" i="11"/>
  <c r="U15" i="11" s="1"/>
  <c r="A15" i="11"/>
  <c r="R14" i="11"/>
  <c r="T14" i="11" s="1"/>
  <c r="Q14" i="11"/>
  <c r="U14" i="11" s="1"/>
  <c r="A14" i="11"/>
  <c r="R12" i="11"/>
  <c r="T12" i="11" s="1"/>
  <c r="Q12" i="11"/>
  <c r="U12" i="11" s="1"/>
  <c r="A12" i="11"/>
  <c r="R11" i="11"/>
  <c r="T11" i="11" s="1"/>
  <c r="Q11" i="11"/>
  <c r="U11" i="11" s="1"/>
  <c r="A11" i="11"/>
  <c r="R10" i="11"/>
  <c r="T10" i="11" s="1"/>
  <c r="Q10" i="11"/>
  <c r="U10" i="11" s="1"/>
  <c r="A10" i="11"/>
  <c r="R9" i="11"/>
  <c r="T9" i="11" s="1"/>
  <c r="Q9" i="11"/>
  <c r="U9" i="11" s="1"/>
  <c r="A9" i="11"/>
  <c r="R7" i="11"/>
  <c r="T7" i="11" s="1"/>
  <c r="Q7" i="11"/>
  <c r="U7" i="11" s="1"/>
  <c r="A7" i="11"/>
  <c r="R6" i="11"/>
  <c r="T6" i="11" s="1"/>
  <c r="Q6" i="11"/>
  <c r="U6" i="11" s="1"/>
  <c r="A6" i="11"/>
  <c r="R5" i="11"/>
  <c r="Q5" i="11"/>
  <c r="U5" i="11" s="1"/>
  <c r="A5" i="11"/>
  <c r="O3" i="11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R30" i="10"/>
  <c r="T30" i="10" s="1"/>
  <c r="Q30" i="10"/>
  <c r="U30" i="10" s="1"/>
  <c r="A30" i="10"/>
  <c r="R28" i="10"/>
  <c r="T28" i="10" s="1"/>
  <c r="Q28" i="10"/>
  <c r="U28" i="10" s="1"/>
  <c r="A28" i="10"/>
  <c r="R27" i="10"/>
  <c r="T27" i="10" s="1"/>
  <c r="Q27" i="10"/>
  <c r="U27" i="10" s="1"/>
  <c r="A27" i="10"/>
  <c r="R26" i="10"/>
  <c r="T26" i="10" s="1"/>
  <c r="Q26" i="10"/>
  <c r="A26" i="10"/>
  <c r="R24" i="10"/>
  <c r="Q24" i="10"/>
  <c r="U24" i="10" s="1"/>
  <c r="A24" i="10"/>
  <c r="R23" i="10"/>
  <c r="T23" i="10" s="1"/>
  <c r="Q23" i="10"/>
  <c r="U23" i="10" s="1"/>
  <c r="A23" i="10"/>
  <c r="R22" i="10"/>
  <c r="T22" i="10" s="1"/>
  <c r="Q22" i="10"/>
  <c r="U22" i="10" s="1"/>
  <c r="A22" i="10"/>
  <c r="R20" i="10"/>
  <c r="T20" i="10" s="1"/>
  <c r="Q20" i="10"/>
  <c r="U20" i="10" s="1"/>
  <c r="A20" i="10"/>
  <c r="P18" i="10"/>
  <c r="P33" i="10" s="1"/>
  <c r="O18" i="10"/>
  <c r="O33" i="10" s="1"/>
  <c r="N18" i="10"/>
  <c r="N33" i="10" s="1"/>
  <c r="M18" i="10"/>
  <c r="M33" i="10" s="1"/>
  <c r="L18" i="10"/>
  <c r="L33" i="10" s="1"/>
  <c r="K18" i="10"/>
  <c r="K33" i="10" s="1"/>
  <c r="J18" i="10"/>
  <c r="J33" i="10" s="1"/>
  <c r="I18" i="10"/>
  <c r="I33" i="10" s="1"/>
  <c r="H18" i="10"/>
  <c r="H33" i="10" s="1"/>
  <c r="G18" i="10"/>
  <c r="G33" i="10" s="1"/>
  <c r="F18" i="10"/>
  <c r="F33" i="10" s="1"/>
  <c r="E18" i="10"/>
  <c r="E33" i="10" s="1"/>
  <c r="D18" i="10"/>
  <c r="D33" i="10" s="1"/>
  <c r="C18" i="10"/>
  <c r="C33" i="10" s="1"/>
  <c r="R17" i="10"/>
  <c r="T17" i="10" s="1"/>
  <c r="Q17" i="10"/>
  <c r="U17" i="10" s="1"/>
  <c r="A17" i="10"/>
  <c r="R15" i="10"/>
  <c r="T15" i="10" s="1"/>
  <c r="Q15" i="10"/>
  <c r="U15" i="10" s="1"/>
  <c r="A15" i="10"/>
  <c r="R14" i="10"/>
  <c r="T14" i="10" s="1"/>
  <c r="Q14" i="10"/>
  <c r="U14" i="10" s="1"/>
  <c r="A14" i="10"/>
  <c r="R12" i="10"/>
  <c r="T12" i="10" s="1"/>
  <c r="Q12" i="10"/>
  <c r="U12" i="10" s="1"/>
  <c r="A12" i="10"/>
  <c r="R11" i="10"/>
  <c r="T11" i="10" s="1"/>
  <c r="Q11" i="10"/>
  <c r="U11" i="10" s="1"/>
  <c r="A11" i="10"/>
  <c r="R10" i="10"/>
  <c r="T10" i="10" s="1"/>
  <c r="Q10" i="10"/>
  <c r="U10" i="10" s="1"/>
  <c r="A10" i="10"/>
  <c r="R9" i="10"/>
  <c r="T9" i="10" s="1"/>
  <c r="Q9" i="10"/>
  <c r="A9" i="10"/>
  <c r="R7" i="10"/>
  <c r="T7" i="10" s="1"/>
  <c r="Q7" i="10"/>
  <c r="U7" i="10" s="1"/>
  <c r="A7" i="10"/>
  <c r="R6" i="10"/>
  <c r="T6" i="10" s="1"/>
  <c r="Q6" i="10"/>
  <c r="U6" i="10" s="1"/>
  <c r="A6" i="10"/>
  <c r="R5" i="10"/>
  <c r="Q5" i="10"/>
  <c r="U5" i="10" s="1"/>
  <c r="A5" i="10"/>
  <c r="I3" i="10"/>
  <c r="O3" i="10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R30" i="9"/>
  <c r="T30" i="9" s="1"/>
  <c r="Q30" i="9"/>
  <c r="U30" i="9" s="1"/>
  <c r="A30" i="9"/>
  <c r="R28" i="9"/>
  <c r="T28" i="9" s="1"/>
  <c r="Q28" i="9"/>
  <c r="U28" i="9" s="1"/>
  <c r="A28" i="9"/>
  <c r="R27" i="9"/>
  <c r="T27" i="9" s="1"/>
  <c r="Q27" i="9"/>
  <c r="U27" i="9" s="1"/>
  <c r="A27" i="9"/>
  <c r="R26" i="9"/>
  <c r="T26" i="9" s="1"/>
  <c r="Q26" i="9"/>
  <c r="A26" i="9"/>
  <c r="R24" i="9"/>
  <c r="Q24" i="9"/>
  <c r="U24" i="9" s="1"/>
  <c r="A24" i="9"/>
  <c r="R23" i="9"/>
  <c r="T23" i="9" s="1"/>
  <c r="Q23" i="9"/>
  <c r="U23" i="9" s="1"/>
  <c r="A23" i="9"/>
  <c r="R22" i="9"/>
  <c r="T22" i="9" s="1"/>
  <c r="Q22" i="9"/>
  <c r="U22" i="9" s="1"/>
  <c r="A22" i="9"/>
  <c r="R20" i="9"/>
  <c r="T20" i="9" s="1"/>
  <c r="Q20" i="9"/>
  <c r="U20" i="9" s="1"/>
  <c r="A20" i="9"/>
  <c r="P18" i="9"/>
  <c r="P33" i="9" s="1"/>
  <c r="O18" i="9"/>
  <c r="O33" i="9" s="1"/>
  <c r="N18" i="9"/>
  <c r="N33" i="9" s="1"/>
  <c r="M18" i="9"/>
  <c r="M33" i="9" s="1"/>
  <c r="L18" i="9"/>
  <c r="L33" i="9" s="1"/>
  <c r="K18" i="9"/>
  <c r="K33" i="9" s="1"/>
  <c r="J18" i="9"/>
  <c r="J33" i="9" s="1"/>
  <c r="I18" i="9"/>
  <c r="I33" i="9" s="1"/>
  <c r="H18" i="9"/>
  <c r="H33" i="9" s="1"/>
  <c r="G18" i="9"/>
  <c r="G33" i="9" s="1"/>
  <c r="F18" i="9"/>
  <c r="F33" i="9" s="1"/>
  <c r="E18" i="9"/>
  <c r="E33" i="9" s="1"/>
  <c r="D18" i="9"/>
  <c r="D33" i="9" s="1"/>
  <c r="C18" i="9"/>
  <c r="C33" i="9" s="1"/>
  <c r="R17" i="9"/>
  <c r="T17" i="9" s="1"/>
  <c r="Q17" i="9"/>
  <c r="U17" i="9" s="1"/>
  <c r="A17" i="9"/>
  <c r="R15" i="9"/>
  <c r="T15" i="9" s="1"/>
  <c r="Q15" i="9"/>
  <c r="U15" i="9" s="1"/>
  <c r="A15" i="9"/>
  <c r="R14" i="9"/>
  <c r="T14" i="9" s="1"/>
  <c r="Q14" i="9"/>
  <c r="U14" i="9" s="1"/>
  <c r="A14" i="9"/>
  <c r="R12" i="9"/>
  <c r="T12" i="9" s="1"/>
  <c r="Q12" i="9"/>
  <c r="U12" i="9" s="1"/>
  <c r="A12" i="9"/>
  <c r="R11" i="9"/>
  <c r="T11" i="9" s="1"/>
  <c r="Q11" i="9"/>
  <c r="U11" i="9" s="1"/>
  <c r="A11" i="9"/>
  <c r="R10" i="9"/>
  <c r="T10" i="9" s="1"/>
  <c r="Q10" i="9"/>
  <c r="U10" i="9" s="1"/>
  <c r="A10" i="9"/>
  <c r="R9" i="9"/>
  <c r="T9" i="9" s="1"/>
  <c r="Q9" i="9"/>
  <c r="A9" i="9"/>
  <c r="R7" i="9"/>
  <c r="T7" i="9" s="1"/>
  <c r="Q7" i="9"/>
  <c r="U7" i="9" s="1"/>
  <c r="A7" i="9"/>
  <c r="R6" i="9"/>
  <c r="T6" i="9" s="1"/>
  <c r="Q6" i="9"/>
  <c r="U6" i="9" s="1"/>
  <c r="A6" i="9"/>
  <c r="R5" i="9"/>
  <c r="Q5" i="9"/>
  <c r="U5" i="9" s="1"/>
  <c r="A5" i="9"/>
  <c r="O3" i="9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R30" i="8"/>
  <c r="T30" i="8" s="1"/>
  <c r="Q30" i="8"/>
  <c r="U30" i="8" s="1"/>
  <c r="A30" i="8"/>
  <c r="R28" i="8"/>
  <c r="Q28" i="8"/>
  <c r="U28" i="8" s="1"/>
  <c r="A28" i="8"/>
  <c r="R27" i="8"/>
  <c r="T27" i="8" s="1"/>
  <c r="Q27" i="8"/>
  <c r="U27" i="8" s="1"/>
  <c r="A27" i="8"/>
  <c r="R26" i="8"/>
  <c r="T26" i="8" s="1"/>
  <c r="Q26" i="8"/>
  <c r="U26" i="8" s="1"/>
  <c r="A26" i="8"/>
  <c r="R24" i="8"/>
  <c r="T24" i="8" s="1"/>
  <c r="Q24" i="8"/>
  <c r="U24" i="8" s="1"/>
  <c r="A24" i="8"/>
  <c r="R23" i="8"/>
  <c r="T23" i="8" s="1"/>
  <c r="Q23" i="8"/>
  <c r="U23" i="8" s="1"/>
  <c r="A23" i="8"/>
  <c r="R22" i="8"/>
  <c r="T22" i="8" s="1"/>
  <c r="Q22" i="8"/>
  <c r="U22" i="8" s="1"/>
  <c r="A22" i="8"/>
  <c r="R20" i="8"/>
  <c r="T20" i="8" s="1"/>
  <c r="Q20" i="8"/>
  <c r="U20" i="8" s="1"/>
  <c r="A20" i="8"/>
  <c r="P18" i="8"/>
  <c r="P33" i="8" s="1"/>
  <c r="O18" i="8"/>
  <c r="O33" i="8" s="1"/>
  <c r="N18" i="8"/>
  <c r="N33" i="8" s="1"/>
  <c r="M18" i="8"/>
  <c r="M33" i="8" s="1"/>
  <c r="L18" i="8"/>
  <c r="L33" i="8" s="1"/>
  <c r="K18" i="8"/>
  <c r="K33" i="8" s="1"/>
  <c r="J18" i="8"/>
  <c r="J33" i="8" s="1"/>
  <c r="I18" i="8"/>
  <c r="I33" i="8" s="1"/>
  <c r="H18" i="8"/>
  <c r="H33" i="8" s="1"/>
  <c r="G18" i="8"/>
  <c r="G33" i="8" s="1"/>
  <c r="F18" i="8"/>
  <c r="F33" i="8" s="1"/>
  <c r="E18" i="8"/>
  <c r="E33" i="8" s="1"/>
  <c r="D18" i="8"/>
  <c r="D33" i="8" s="1"/>
  <c r="C18" i="8"/>
  <c r="C33" i="8" s="1"/>
  <c r="R17" i="8"/>
  <c r="T17" i="8" s="1"/>
  <c r="Q17" i="8"/>
  <c r="U17" i="8" s="1"/>
  <c r="A17" i="8"/>
  <c r="R15" i="8"/>
  <c r="T15" i="8" s="1"/>
  <c r="Q15" i="8"/>
  <c r="U15" i="8" s="1"/>
  <c r="A15" i="8"/>
  <c r="R14" i="8"/>
  <c r="T14" i="8" s="1"/>
  <c r="Q14" i="8"/>
  <c r="U14" i="8" s="1"/>
  <c r="A14" i="8"/>
  <c r="R12" i="8"/>
  <c r="T12" i="8" s="1"/>
  <c r="Q12" i="8"/>
  <c r="U12" i="8" s="1"/>
  <c r="A12" i="8"/>
  <c r="R11" i="8"/>
  <c r="Q11" i="8"/>
  <c r="U11" i="8" s="1"/>
  <c r="A11" i="8"/>
  <c r="R10" i="8"/>
  <c r="T10" i="8" s="1"/>
  <c r="Q10" i="8"/>
  <c r="U10" i="8" s="1"/>
  <c r="A10" i="8"/>
  <c r="R9" i="8"/>
  <c r="T9" i="8" s="1"/>
  <c r="Q9" i="8"/>
  <c r="U9" i="8" s="1"/>
  <c r="A9" i="8"/>
  <c r="R7" i="8"/>
  <c r="T7" i="8" s="1"/>
  <c r="Q7" i="8"/>
  <c r="U7" i="8" s="1"/>
  <c r="A7" i="8"/>
  <c r="R6" i="8"/>
  <c r="T6" i="8" s="1"/>
  <c r="Q6" i="8"/>
  <c r="U6" i="8" s="1"/>
  <c r="A6" i="8"/>
  <c r="R5" i="8"/>
  <c r="T5" i="8" s="1"/>
  <c r="Q5" i="8"/>
  <c r="U5" i="8" s="1"/>
  <c r="A5" i="8"/>
  <c r="O3" i="8"/>
  <c r="G3" i="8"/>
  <c r="M3" i="8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R30" i="7"/>
  <c r="T30" i="7" s="1"/>
  <c r="Q30" i="7"/>
  <c r="U30" i="7" s="1"/>
  <c r="A30" i="7"/>
  <c r="R28" i="7"/>
  <c r="T28" i="7" s="1"/>
  <c r="Q28" i="7"/>
  <c r="U28" i="7" s="1"/>
  <c r="A28" i="7"/>
  <c r="R27" i="7"/>
  <c r="T27" i="7" s="1"/>
  <c r="Q27" i="7"/>
  <c r="U27" i="7" s="1"/>
  <c r="A27" i="7"/>
  <c r="R26" i="7"/>
  <c r="T26" i="7" s="1"/>
  <c r="Q26" i="7"/>
  <c r="U26" i="7" s="1"/>
  <c r="A26" i="7"/>
  <c r="R24" i="7"/>
  <c r="T24" i="7" s="1"/>
  <c r="Q24" i="7"/>
  <c r="U24" i="7" s="1"/>
  <c r="A24" i="7"/>
  <c r="R23" i="7"/>
  <c r="T23" i="7" s="1"/>
  <c r="Q23" i="7"/>
  <c r="U23" i="7" s="1"/>
  <c r="A23" i="7"/>
  <c r="R22" i="7"/>
  <c r="T22" i="7" s="1"/>
  <c r="Q22" i="7"/>
  <c r="U22" i="7" s="1"/>
  <c r="A22" i="7"/>
  <c r="R20" i="7"/>
  <c r="T20" i="7" s="1"/>
  <c r="Q20" i="7"/>
  <c r="U20" i="7" s="1"/>
  <c r="A20" i="7"/>
  <c r="P18" i="7"/>
  <c r="P33" i="7" s="1"/>
  <c r="O18" i="7"/>
  <c r="O33" i="7" s="1"/>
  <c r="N18" i="7"/>
  <c r="N33" i="7" s="1"/>
  <c r="M18" i="7"/>
  <c r="M33" i="7" s="1"/>
  <c r="L18" i="7"/>
  <c r="L33" i="7" s="1"/>
  <c r="K18" i="7"/>
  <c r="K33" i="7" s="1"/>
  <c r="J18" i="7"/>
  <c r="J33" i="7" s="1"/>
  <c r="I18" i="7"/>
  <c r="I33" i="7" s="1"/>
  <c r="H18" i="7"/>
  <c r="H33" i="7" s="1"/>
  <c r="G18" i="7"/>
  <c r="G33" i="7" s="1"/>
  <c r="F18" i="7"/>
  <c r="F33" i="7" s="1"/>
  <c r="E18" i="7"/>
  <c r="E33" i="7" s="1"/>
  <c r="D18" i="7"/>
  <c r="D33" i="7" s="1"/>
  <c r="C18" i="7"/>
  <c r="C33" i="7" s="1"/>
  <c r="R17" i="7"/>
  <c r="T17" i="7" s="1"/>
  <c r="Q17" i="7"/>
  <c r="U17" i="7" s="1"/>
  <c r="A17" i="7"/>
  <c r="R15" i="7"/>
  <c r="T15" i="7" s="1"/>
  <c r="Q15" i="7"/>
  <c r="U15" i="7" s="1"/>
  <c r="A15" i="7"/>
  <c r="R14" i="7"/>
  <c r="T14" i="7" s="1"/>
  <c r="Q14" i="7"/>
  <c r="U14" i="7" s="1"/>
  <c r="A14" i="7"/>
  <c r="R12" i="7"/>
  <c r="T12" i="7" s="1"/>
  <c r="Q12" i="7"/>
  <c r="U12" i="7" s="1"/>
  <c r="A12" i="7"/>
  <c r="R11" i="7"/>
  <c r="T11" i="7" s="1"/>
  <c r="Q11" i="7"/>
  <c r="U11" i="7" s="1"/>
  <c r="A11" i="7"/>
  <c r="R10" i="7"/>
  <c r="T10" i="7" s="1"/>
  <c r="Q10" i="7"/>
  <c r="U10" i="7" s="1"/>
  <c r="A10" i="7"/>
  <c r="R9" i="7"/>
  <c r="T9" i="7" s="1"/>
  <c r="Q9" i="7"/>
  <c r="U9" i="7" s="1"/>
  <c r="A9" i="7"/>
  <c r="R7" i="7"/>
  <c r="T7" i="7" s="1"/>
  <c r="Q7" i="7"/>
  <c r="U7" i="7" s="1"/>
  <c r="A7" i="7"/>
  <c r="R6" i="7"/>
  <c r="T6" i="7" s="1"/>
  <c r="Q6" i="7"/>
  <c r="U6" i="7" s="1"/>
  <c r="A6" i="7"/>
  <c r="R5" i="7"/>
  <c r="Q5" i="7"/>
  <c r="U5" i="7" s="1"/>
  <c r="A5" i="7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R30" i="6"/>
  <c r="T30" i="6" s="1"/>
  <c r="Q30" i="6"/>
  <c r="U30" i="6" s="1"/>
  <c r="A30" i="6"/>
  <c r="R28" i="6"/>
  <c r="T28" i="6" s="1"/>
  <c r="Q28" i="6"/>
  <c r="U28" i="6" s="1"/>
  <c r="A28" i="6"/>
  <c r="R27" i="6"/>
  <c r="T27" i="6" s="1"/>
  <c r="Q27" i="6"/>
  <c r="U27" i="6" s="1"/>
  <c r="A27" i="6"/>
  <c r="R26" i="6"/>
  <c r="T26" i="6" s="1"/>
  <c r="Q26" i="6"/>
  <c r="U26" i="6" s="1"/>
  <c r="A26" i="6"/>
  <c r="R24" i="6"/>
  <c r="T24" i="6" s="1"/>
  <c r="Q24" i="6"/>
  <c r="U24" i="6" s="1"/>
  <c r="A24" i="6"/>
  <c r="R23" i="6"/>
  <c r="T23" i="6" s="1"/>
  <c r="Q23" i="6"/>
  <c r="U23" i="6" s="1"/>
  <c r="A23" i="6"/>
  <c r="R22" i="6"/>
  <c r="T22" i="6" s="1"/>
  <c r="Q22" i="6"/>
  <c r="U22" i="6" s="1"/>
  <c r="A22" i="6"/>
  <c r="R20" i="6"/>
  <c r="T20" i="6" s="1"/>
  <c r="Q20" i="6"/>
  <c r="U20" i="6" s="1"/>
  <c r="A20" i="6"/>
  <c r="P18" i="6"/>
  <c r="P33" i="6" s="1"/>
  <c r="O18" i="6"/>
  <c r="O33" i="6" s="1"/>
  <c r="N18" i="6"/>
  <c r="N33" i="6" s="1"/>
  <c r="M18" i="6"/>
  <c r="M33" i="6" s="1"/>
  <c r="L18" i="6"/>
  <c r="L33" i="6" s="1"/>
  <c r="K18" i="6"/>
  <c r="K33" i="6" s="1"/>
  <c r="J18" i="6"/>
  <c r="J33" i="6" s="1"/>
  <c r="I18" i="6"/>
  <c r="I33" i="6" s="1"/>
  <c r="H18" i="6"/>
  <c r="H33" i="6" s="1"/>
  <c r="G18" i="6"/>
  <c r="G33" i="6" s="1"/>
  <c r="F18" i="6"/>
  <c r="F33" i="6" s="1"/>
  <c r="E18" i="6"/>
  <c r="E33" i="6" s="1"/>
  <c r="D18" i="6"/>
  <c r="D33" i="6" s="1"/>
  <c r="C18" i="6"/>
  <c r="C33" i="6" s="1"/>
  <c r="R17" i="6"/>
  <c r="T17" i="6" s="1"/>
  <c r="Q17" i="6"/>
  <c r="U17" i="6" s="1"/>
  <c r="A17" i="6"/>
  <c r="R15" i="6"/>
  <c r="T15" i="6" s="1"/>
  <c r="Q15" i="6"/>
  <c r="U15" i="6" s="1"/>
  <c r="A15" i="6"/>
  <c r="R14" i="6"/>
  <c r="T14" i="6" s="1"/>
  <c r="Q14" i="6"/>
  <c r="U14" i="6" s="1"/>
  <c r="A14" i="6"/>
  <c r="R12" i="6"/>
  <c r="T12" i="6" s="1"/>
  <c r="Q12" i="6"/>
  <c r="U12" i="6" s="1"/>
  <c r="A12" i="6"/>
  <c r="R11" i="6"/>
  <c r="T11" i="6" s="1"/>
  <c r="Q11" i="6"/>
  <c r="U11" i="6" s="1"/>
  <c r="A11" i="6"/>
  <c r="R10" i="6"/>
  <c r="T10" i="6" s="1"/>
  <c r="Q10" i="6"/>
  <c r="U10" i="6" s="1"/>
  <c r="A10" i="6"/>
  <c r="R9" i="6"/>
  <c r="T9" i="6" s="1"/>
  <c r="Q9" i="6"/>
  <c r="U9" i="6" s="1"/>
  <c r="A9" i="6"/>
  <c r="R7" i="6"/>
  <c r="T7" i="6" s="1"/>
  <c r="Q7" i="6"/>
  <c r="U7" i="6" s="1"/>
  <c r="A7" i="6"/>
  <c r="R6" i="6"/>
  <c r="T6" i="6" s="1"/>
  <c r="Q6" i="6"/>
  <c r="U6" i="6" s="1"/>
  <c r="A6" i="6"/>
  <c r="R5" i="6"/>
  <c r="Q5" i="6"/>
  <c r="U5" i="6" s="1"/>
  <c r="A5" i="6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R30" i="4"/>
  <c r="T30" i="4" s="1"/>
  <c r="Q30" i="4"/>
  <c r="U30" i="4" s="1"/>
  <c r="A30" i="4"/>
  <c r="R28" i="4"/>
  <c r="T28" i="4" s="1"/>
  <c r="Q28" i="4"/>
  <c r="U28" i="4" s="1"/>
  <c r="A28" i="4"/>
  <c r="R27" i="4"/>
  <c r="T27" i="4" s="1"/>
  <c r="Q27" i="4"/>
  <c r="U27" i="4" s="1"/>
  <c r="A27" i="4"/>
  <c r="R26" i="4"/>
  <c r="T26" i="4" s="1"/>
  <c r="Q26" i="4"/>
  <c r="U26" i="4" s="1"/>
  <c r="A26" i="4"/>
  <c r="R24" i="4"/>
  <c r="Q24" i="4"/>
  <c r="U24" i="4" s="1"/>
  <c r="A24" i="4"/>
  <c r="R23" i="4"/>
  <c r="T23" i="4" s="1"/>
  <c r="Q23" i="4"/>
  <c r="U23" i="4" s="1"/>
  <c r="A23" i="4"/>
  <c r="R22" i="4"/>
  <c r="T22" i="4" s="1"/>
  <c r="Q22" i="4"/>
  <c r="U22" i="4" s="1"/>
  <c r="A22" i="4"/>
  <c r="R20" i="4"/>
  <c r="T20" i="4" s="1"/>
  <c r="Q20" i="4"/>
  <c r="U20" i="4" s="1"/>
  <c r="A20" i="4"/>
  <c r="P18" i="4"/>
  <c r="P33" i="4" s="1"/>
  <c r="O18" i="4"/>
  <c r="O33" i="4" s="1"/>
  <c r="N18" i="4"/>
  <c r="N33" i="4" s="1"/>
  <c r="M18" i="4"/>
  <c r="M33" i="4" s="1"/>
  <c r="L18" i="4"/>
  <c r="L33" i="4" s="1"/>
  <c r="K18" i="4"/>
  <c r="K33" i="4" s="1"/>
  <c r="J18" i="4"/>
  <c r="J33" i="4" s="1"/>
  <c r="I18" i="4"/>
  <c r="I33" i="4" s="1"/>
  <c r="H18" i="4"/>
  <c r="H33" i="4" s="1"/>
  <c r="G18" i="4"/>
  <c r="G33" i="4" s="1"/>
  <c r="F18" i="4"/>
  <c r="F33" i="4" s="1"/>
  <c r="E18" i="4"/>
  <c r="E33" i="4" s="1"/>
  <c r="D18" i="4"/>
  <c r="D33" i="4" s="1"/>
  <c r="C18" i="4"/>
  <c r="C33" i="4" s="1"/>
  <c r="R17" i="4"/>
  <c r="T17" i="4" s="1"/>
  <c r="Q17" i="4"/>
  <c r="U17" i="4" s="1"/>
  <c r="A17" i="4"/>
  <c r="R15" i="4"/>
  <c r="T15" i="4" s="1"/>
  <c r="Q15" i="4"/>
  <c r="U15" i="4" s="1"/>
  <c r="A15" i="4"/>
  <c r="R14" i="4"/>
  <c r="T14" i="4" s="1"/>
  <c r="Q14" i="4"/>
  <c r="U14" i="4" s="1"/>
  <c r="A14" i="4"/>
  <c r="R12" i="4"/>
  <c r="T12" i="4" s="1"/>
  <c r="Q12" i="4"/>
  <c r="U12" i="4" s="1"/>
  <c r="A12" i="4"/>
  <c r="R11" i="4"/>
  <c r="T11" i="4" s="1"/>
  <c r="Q11" i="4"/>
  <c r="U11" i="4" s="1"/>
  <c r="A11" i="4"/>
  <c r="R10" i="4"/>
  <c r="Q10" i="4"/>
  <c r="U10" i="4" s="1"/>
  <c r="A10" i="4"/>
  <c r="R9" i="4"/>
  <c r="T9" i="4" s="1"/>
  <c r="Q9" i="4"/>
  <c r="U9" i="4" s="1"/>
  <c r="A9" i="4"/>
  <c r="R7" i="4"/>
  <c r="T7" i="4" s="1"/>
  <c r="Q7" i="4"/>
  <c r="U7" i="4" s="1"/>
  <c r="A7" i="4"/>
  <c r="R6" i="4"/>
  <c r="T6" i="4" s="1"/>
  <c r="Q6" i="4"/>
  <c r="U6" i="4" s="1"/>
  <c r="A6" i="4"/>
  <c r="R5" i="4"/>
  <c r="Q5" i="4"/>
  <c r="U5" i="4" s="1"/>
  <c r="A5" i="4"/>
  <c r="R30" i="1"/>
  <c r="T30" i="1" s="1"/>
  <c r="Q30" i="1"/>
  <c r="W30" i="1" s="1"/>
  <c r="R28" i="1"/>
  <c r="T28" i="1" s="1"/>
  <c r="Q28" i="1"/>
  <c r="W28" i="1" s="1"/>
  <c r="R27" i="1"/>
  <c r="T27" i="1" s="1"/>
  <c r="Q27" i="1"/>
  <c r="W27" i="1" s="1"/>
  <c r="R26" i="1"/>
  <c r="T26" i="1" s="1"/>
  <c r="Q26" i="1"/>
  <c r="W26" i="1" s="1"/>
  <c r="R24" i="1"/>
  <c r="T24" i="1" s="1"/>
  <c r="Q24" i="1"/>
  <c r="W24" i="1" s="1"/>
  <c r="R23" i="1"/>
  <c r="T23" i="1" s="1"/>
  <c r="Q23" i="1"/>
  <c r="W23" i="1" s="1"/>
  <c r="R22" i="1"/>
  <c r="T22" i="1" s="1"/>
  <c r="Q22" i="1"/>
  <c r="W22" i="1" s="1"/>
  <c r="R20" i="1"/>
  <c r="T20" i="1" s="1"/>
  <c r="Q20" i="1"/>
  <c r="R17" i="1"/>
  <c r="T17" i="1" s="1"/>
  <c r="Q17" i="1"/>
  <c r="W17" i="1" s="1"/>
  <c r="R15" i="1"/>
  <c r="T15" i="1" s="1"/>
  <c r="Q15" i="1"/>
  <c r="W15" i="1" s="1"/>
  <c r="R14" i="1"/>
  <c r="T14" i="1" s="1"/>
  <c r="Q14" i="1"/>
  <c r="W14" i="1" s="1"/>
  <c r="R12" i="1"/>
  <c r="T12" i="1" s="1"/>
  <c r="Q12" i="1"/>
  <c r="W12" i="1" s="1"/>
  <c r="R11" i="1"/>
  <c r="T11" i="1" s="1"/>
  <c r="Q11" i="1"/>
  <c r="W11" i="1" s="1"/>
  <c r="R10" i="1"/>
  <c r="T10" i="1" s="1"/>
  <c r="Q10" i="1"/>
  <c r="W10" i="1" s="1"/>
  <c r="R9" i="1"/>
  <c r="Q9" i="1"/>
  <c r="W9" i="1" s="1"/>
  <c r="R7" i="1"/>
  <c r="T7" i="1" s="1"/>
  <c r="Q7" i="1"/>
  <c r="W7" i="1" s="1"/>
  <c r="R6" i="1"/>
  <c r="T6" i="1" s="1"/>
  <c r="Q6" i="1"/>
  <c r="W6" i="1" s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R18" i="31" l="1"/>
  <c r="R18" i="35"/>
  <c r="Q18" i="44"/>
  <c r="R31" i="47"/>
  <c r="R18" i="57"/>
  <c r="R18" i="40"/>
  <c r="R33" i="40" s="1"/>
  <c r="R36" i="40" s="1"/>
  <c r="D108" i="5"/>
  <c r="T102" i="5"/>
  <c r="R31" i="43"/>
  <c r="R18" i="44"/>
  <c r="R18" i="45"/>
  <c r="R18" i="50"/>
  <c r="R18" i="52"/>
  <c r="Q31" i="56"/>
  <c r="T31" i="38"/>
  <c r="T31" i="51"/>
  <c r="T31" i="57"/>
  <c r="R18" i="30"/>
  <c r="R18" i="34"/>
  <c r="R18" i="46"/>
  <c r="R18" i="55"/>
  <c r="D63" i="5"/>
  <c r="L38" i="5"/>
  <c r="D98" i="5"/>
  <c r="L73" i="5"/>
  <c r="T31" i="39"/>
  <c r="R31" i="52"/>
  <c r="R18" i="53"/>
  <c r="D64" i="5"/>
  <c r="L39" i="5"/>
  <c r="T31" i="34"/>
  <c r="T31" i="41"/>
  <c r="R18" i="43"/>
  <c r="T31" i="46"/>
  <c r="R18" i="47"/>
  <c r="R18" i="56"/>
  <c r="R18" i="51"/>
  <c r="Q31" i="1"/>
  <c r="W20" i="1"/>
  <c r="T31" i="1"/>
  <c r="F3" i="20"/>
  <c r="E2" i="20"/>
  <c r="E1" i="20" s="1"/>
  <c r="P3" i="36"/>
  <c r="O2" i="36"/>
  <c r="O1" i="36" s="1"/>
  <c r="P3" i="46"/>
  <c r="O2" i="46"/>
  <c r="O1" i="46" s="1"/>
  <c r="F3" i="49"/>
  <c r="E2" i="49"/>
  <c r="E1" i="49" s="1"/>
  <c r="N3" i="23"/>
  <c r="M2" i="23"/>
  <c r="M1" i="23" s="1"/>
  <c r="J3" i="25"/>
  <c r="I2" i="25"/>
  <c r="I1" i="25" s="1"/>
  <c r="J3" i="26"/>
  <c r="I2" i="26"/>
  <c r="I1" i="26" s="1"/>
  <c r="P3" i="31"/>
  <c r="O2" i="31"/>
  <c r="O1" i="31" s="1"/>
  <c r="P3" i="32"/>
  <c r="O2" i="32"/>
  <c r="O1" i="32" s="1"/>
  <c r="P3" i="44"/>
  <c r="O2" i="44"/>
  <c r="O1" i="44" s="1"/>
  <c r="P3" i="48"/>
  <c r="O2" i="48"/>
  <c r="O1" i="48" s="1"/>
  <c r="N3" i="49"/>
  <c r="M2" i="49"/>
  <c r="M1" i="49" s="1"/>
  <c r="F3" i="54"/>
  <c r="E2" i="54"/>
  <c r="E1" i="54" s="1"/>
  <c r="P3" i="56"/>
  <c r="O2" i="56"/>
  <c r="O1" i="56" s="1"/>
  <c r="N3" i="28"/>
  <c r="M2" i="28"/>
  <c r="M1" i="28" s="1"/>
  <c r="J3" i="32"/>
  <c r="I2" i="32"/>
  <c r="I1" i="32" s="1"/>
  <c r="P3" i="33"/>
  <c r="O2" i="33"/>
  <c r="O1" i="33" s="1"/>
  <c r="P3" i="40"/>
  <c r="O2" i="40"/>
  <c r="O1" i="40" s="1"/>
  <c r="P3" i="42"/>
  <c r="O2" i="42"/>
  <c r="O1" i="42" s="1"/>
  <c r="P3" i="43"/>
  <c r="O2" i="43"/>
  <c r="O1" i="43" s="1"/>
  <c r="F3" i="48"/>
  <c r="E2" i="48"/>
  <c r="E1" i="48" s="1"/>
  <c r="P3" i="51"/>
  <c r="O2" i="51"/>
  <c r="O1" i="51" s="1"/>
  <c r="N3" i="54"/>
  <c r="M2" i="54"/>
  <c r="M1" i="54" s="1"/>
  <c r="J3" i="56"/>
  <c r="I2" i="56"/>
  <c r="I1" i="56" s="1"/>
  <c r="P3" i="19"/>
  <c r="O2" i="19"/>
  <c r="O1" i="19" s="1"/>
  <c r="P3" i="24"/>
  <c r="O2" i="24"/>
  <c r="O1" i="24" s="1"/>
  <c r="H3" i="28"/>
  <c r="G2" i="28"/>
  <c r="G1" i="28" s="1"/>
  <c r="J3" i="33"/>
  <c r="I2" i="33"/>
  <c r="I1" i="33" s="1"/>
  <c r="J3" i="48"/>
  <c r="I2" i="48"/>
  <c r="I1" i="48" s="1"/>
  <c r="J3" i="51"/>
  <c r="I2" i="51"/>
  <c r="I1" i="51" s="1"/>
  <c r="P3" i="57"/>
  <c r="O2" i="57"/>
  <c r="O1" i="57" s="1"/>
  <c r="P3" i="23"/>
  <c r="O2" i="23"/>
  <c r="O1" i="23" s="1"/>
  <c r="P3" i="49"/>
  <c r="O2" i="49"/>
  <c r="O1" i="49" s="1"/>
  <c r="P3" i="55"/>
  <c r="O2" i="55"/>
  <c r="O1" i="55" s="1"/>
  <c r="F3" i="23"/>
  <c r="E2" i="23"/>
  <c r="E1" i="23" s="1"/>
  <c r="J3" i="19"/>
  <c r="I2" i="19"/>
  <c r="I1" i="19" s="1"/>
  <c r="P3" i="28"/>
  <c r="O2" i="28"/>
  <c r="O1" i="28" s="1"/>
  <c r="P3" i="29"/>
  <c r="O2" i="29"/>
  <c r="O1" i="29" s="1"/>
  <c r="P3" i="30"/>
  <c r="O2" i="30"/>
  <c r="O1" i="30" s="1"/>
  <c r="P3" i="38"/>
  <c r="O2" i="38"/>
  <c r="O1" i="38" s="1"/>
  <c r="P3" i="45"/>
  <c r="O2" i="45"/>
  <c r="O1" i="45" s="1"/>
  <c r="N3" i="48"/>
  <c r="M2" i="48"/>
  <c r="M1" i="48" s="1"/>
  <c r="J3" i="57"/>
  <c r="I2" i="57"/>
  <c r="I1" i="57" s="1"/>
  <c r="P3" i="26"/>
  <c r="O2" i="26"/>
  <c r="O1" i="26" s="1"/>
  <c r="P3" i="20"/>
  <c r="O2" i="20"/>
  <c r="O1" i="20" s="1"/>
  <c r="P3" i="22"/>
  <c r="O2" i="22"/>
  <c r="O1" i="22" s="1"/>
  <c r="P3" i="27"/>
  <c r="O2" i="27"/>
  <c r="O1" i="27" s="1"/>
  <c r="J3" i="29"/>
  <c r="I2" i="29"/>
  <c r="I1" i="29" s="1"/>
  <c r="J3" i="45"/>
  <c r="I2" i="45"/>
  <c r="I1" i="45" s="1"/>
  <c r="P3" i="50"/>
  <c r="O2" i="50"/>
  <c r="O1" i="50" s="1"/>
  <c r="N3" i="20"/>
  <c r="M2" i="20"/>
  <c r="M1" i="20" s="1"/>
  <c r="P3" i="25"/>
  <c r="O2" i="25"/>
  <c r="O1" i="25" s="1"/>
  <c r="P3" i="54"/>
  <c r="O2" i="54"/>
  <c r="O1" i="54" s="1"/>
  <c r="J3" i="27"/>
  <c r="I2" i="27"/>
  <c r="I1" i="27" s="1"/>
  <c r="P3" i="41"/>
  <c r="O2" i="41"/>
  <c r="O1" i="41" s="1"/>
  <c r="P3" i="52"/>
  <c r="O2" i="52"/>
  <c r="O1" i="52" s="1"/>
  <c r="P3" i="47"/>
  <c r="O2" i="47"/>
  <c r="O1" i="47" s="1"/>
  <c r="P3" i="39"/>
  <c r="O2" i="39"/>
  <c r="O1" i="39" s="1"/>
  <c r="J3" i="37"/>
  <c r="I2" i="37"/>
  <c r="I1" i="37" s="1"/>
  <c r="P3" i="37"/>
  <c r="O2" i="37"/>
  <c r="O1" i="37" s="1"/>
  <c r="P3" i="34"/>
  <c r="O2" i="34"/>
  <c r="O1" i="34" s="1"/>
  <c r="P3" i="21"/>
  <c r="O2" i="21"/>
  <c r="O1" i="21" s="1"/>
  <c r="J3" i="21"/>
  <c r="I2" i="21"/>
  <c r="I1" i="21" s="1"/>
  <c r="P3" i="7"/>
  <c r="O2" i="7"/>
  <c r="O1" i="7" s="1"/>
  <c r="P3" i="13"/>
  <c r="O2" i="13"/>
  <c r="O1" i="13" s="1"/>
  <c r="P3" i="15"/>
  <c r="O2" i="15"/>
  <c r="O1" i="15" s="1"/>
  <c r="P3" i="18"/>
  <c r="O2" i="18"/>
  <c r="O1" i="18" s="1"/>
  <c r="P3" i="11"/>
  <c r="O2" i="11"/>
  <c r="O1" i="11" s="1"/>
  <c r="P3" i="9"/>
  <c r="O2" i="9"/>
  <c r="O1" i="9" s="1"/>
  <c r="P3" i="12"/>
  <c r="O2" i="12"/>
  <c r="O1" i="12" s="1"/>
  <c r="P3" i="14"/>
  <c r="O2" i="14"/>
  <c r="O1" i="14" s="1"/>
  <c r="N3" i="8"/>
  <c r="M2" i="8"/>
  <c r="M1" i="8" s="1"/>
  <c r="P3" i="10"/>
  <c r="O2" i="10"/>
  <c r="O1" i="10" s="1"/>
  <c r="J3" i="14"/>
  <c r="I2" i="14"/>
  <c r="I1" i="14" s="1"/>
  <c r="P3" i="16"/>
  <c r="O2" i="16"/>
  <c r="O1" i="16" s="1"/>
  <c r="H3" i="8"/>
  <c r="G2" i="8"/>
  <c r="G1" i="8" s="1"/>
  <c r="J3" i="10"/>
  <c r="I2" i="10"/>
  <c r="I1" i="10" s="1"/>
  <c r="F3" i="12"/>
  <c r="E2" i="12"/>
  <c r="E1" i="12" s="1"/>
  <c r="I2" i="4"/>
  <c r="I1" i="4" s="1"/>
  <c r="P3" i="8"/>
  <c r="O2" i="8"/>
  <c r="O1" i="8" s="1"/>
  <c r="N3" i="12"/>
  <c r="M2" i="12"/>
  <c r="M1" i="12" s="1"/>
  <c r="P3" i="6"/>
  <c r="O2" i="6"/>
  <c r="O1" i="6" s="1"/>
  <c r="P3" i="17"/>
  <c r="O2" i="17"/>
  <c r="O1" i="17" s="1"/>
  <c r="J3" i="4"/>
  <c r="R31" i="1"/>
  <c r="I3" i="7"/>
  <c r="R18" i="54"/>
  <c r="R33" i="54" s="1"/>
  <c r="R36" i="54" s="1"/>
  <c r="R18" i="48"/>
  <c r="R18" i="37"/>
  <c r="R75" i="5"/>
  <c r="S75" i="5"/>
  <c r="J74" i="5"/>
  <c r="K74" i="5"/>
  <c r="K109" i="5"/>
  <c r="J109" i="5"/>
  <c r="R110" i="5"/>
  <c r="S110" i="5"/>
  <c r="O3" i="4"/>
  <c r="C110" i="5"/>
  <c r="B110" i="5"/>
  <c r="Q18" i="8"/>
  <c r="Q33" i="8" s="1"/>
  <c r="Q36" i="8" s="1"/>
  <c r="R18" i="33"/>
  <c r="R33" i="33" s="1"/>
  <c r="R36" i="33" s="1"/>
  <c r="R18" i="32"/>
  <c r="R33" i="32" s="1"/>
  <c r="R36" i="32" s="1"/>
  <c r="R18" i="29"/>
  <c r="T31" i="29"/>
  <c r="D104" i="5"/>
  <c r="R18" i="28"/>
  <c r="T31" i="28"/>
  <c r="Q18" i="28"/>
  <c r="R18" i="27"/>
  <c r="R33" i="27" s="1"/>
  <c r="R36" i="27" s="1"/>
  <c r="R18" i="23"/>
  <c r="R33" i="23" s="1"/>
  <c r="R36" i="23" s="1"/>
  <c r="R18" i="26"/>
  <c r="R18" i="25"/>
  <c r="R33" i="25" s="1"/>
  <c r="R36" i="25" s="1"/>
  <c r="T31" i="25"/>
  <c r="T31" i="24"/>
  <c r="T31" i="23"/>
  <c r="R18" i="22"/>
  <c r="R33" i="22" s="1"/>
  <c r="R36" i="22" s="1"/>
  <c r="T31" i="21"/>
  <c r="R18" i="21"/>
  <c r="R33" i="21" s="1"/>
  <c r="R36" i="21" s="1"/>
  <c r="R18" i="18"/>
  <c r="R18" i="17"/>
  <c r="T31" i="15"/>
  <c r="R18" i="14"/>
  <c r="R18" i="11"/>
  <c r="R33" i="11" s="1"/>
  <c r="R36" i="11" s="1"/>
  <c r="R31" i="10"/>
  <c r="R31" i="9"/>
  <c r="R18" i="9"/>
  <c r="R33" i="9" s="1"/>
  <c r="R36" i="9" s="1"/>
  <c r="D18" i="5"/>
  <c r="D19" i="5"/>
  <c r="D17" i="5"/>
  <c r="D16" i="5"/>
  <c r="R18" i="20"/>
  <c r="R33" i="20" s="1"/>
  <c r="R36" i="20" s="1"/>
  <c r="R18" i="19"/>
  <c r="R18" i="16"/>
  <c r="T27" i="5"/>
  <c r="T24" i="5"/>
  <c r="T28" i="5"/>
  <c r="T25" i="5"/>
  <c r="T29" i="5"/>
  <c r="R18" i="15"/>
  <c r="R33" i="15" s="1"/>
  <c r="R36" i="15" s="1"/>
  <c r="T26" i="5"/>
  <c r="T30" i="5"/>
  <c r="T18" i="5"/>
  <c r="T22" i="5"/>
  <c r="T19" i="5"/>
  <c r="T23" i="5"/>
  <c r="T20" i="5"/>
  <c r="T17" i="5"/>
  <c r="T21" i="5"/>
  <c r="T13" i="5"/>
  <c r="R18" i="13"/>
  <c r="R33" i="13" s="1"/>
  <c r="R36" i="13" s="1"/>
  <c r="T10" i="5"/>
  <c r="T14" i="5"/>
  <c r="T11" i="5"/>
  <c r="T15" i="5"/>
  <c r="T12" i="5"/>
  <c r="T16" i="5"/>
  <c r="T6" i="5"/>
  <c r="T4" i="5"/>
  <c r="T8" i="5"/>
  <c r="T5" i="5"/>
  <c r="T9" i="5"/>
  <c r="T3" i="5"/>
  <c r="T7" i="5"/>
  <c r="L27" i="5"/>
  <c r="L24" i="5"/>
  <c r="L28" i="5"/>
  <c r="L26" i="5"/>
  <c r="L30" i="5"/>
  <c r="L25" i="5"/>
  <c r="L29" i="5"/>
  <c r="L21" i="5"/>
  <c r="L17" i="5"/>
  <c r="L18" i="5"/>
  <c r="L22" i="5"/>
  <c r="L19" i="5"/>
  <c r="L23" i="5"/>
  <c r="R18" i="10"/>
  <c r="R33" i="10" s="1"/>
  <c r="R36" i="10" s="1"/>
  <c r="L20" i="5"/>
  <c r="L16" i="5"/>
  <c r="L12" i="5"/>
  <c r="L13" i="5"/>
  <c r="L10" i="5"/>
  <c r="L14" i="5"/>
  <c r="L11" i="5"/>
  <c r="L15" i="5"/>
  <c r="L5" i="5"/>
  <c r="L9" i="5"/>
  <c r="L7" i="5"/>
  <c r="L6" i="5"/>
  <c r="L4" i="5"/>
  <c r="L8" i="5"/>
  <c r="L3" i="5"/>
  <c r="D28" i="5"/>
  <c r="D32" i="5"/>
  <c r="D33" i="5"/>
  <c r="D30" i="5"/>
  <c r="D29" i="5"/>
  <c r="D27" i="5"/>
  <c r="D31" i="5"/>
  <c r="D26" i="5"/>
  <c r="D22" i="5"/>
  <c r="D23" i="5"/>
  <c r="D20" i="5"/>
  <c r="D24" i="5"/>
  <c r="D25" i="5"/>
  <c r="D15" i="5"/>
  <c r="D14" i="5"/>
  <c r="R31" i="4"/>
  <c r="D13" i="5"/>
  <c r="C79" i="5"/>
  <c r="B79" i="5"/>
  <c r="K44" i="5"/>
  <c r="J44" i="5"/>
  <c r="C45" i="5"/>
  <c r="B45" i="5"/>
  <c r="S44" i="5"/>
  <c r="R44" i="5"/>
  <c r="R18" i="6"/>
  <c r="R33" i="6" s="1"/>
  <c r="R36" i="6" s="1"/>
  <c r="D21" i="5"/>
  <c r="Q6" i="5"/>
  <c r="R5" i="5"/>
  <c r="S5" i="5"/>
  <c r="R18" i="12"/>
  <c r="R33" i="12" s="1"/>
  <c r="R36" i="12" s="1"/>
  <c r="C4" i="5"/>
  <c r="B4" i="5"/>
  <c r="A5" i="5"/>
  <c r="I5" i="5"/>
  <c r="K4" i="5"/>
  <c r="J4" i="5"/>
  <c r="R18" i="7"/>
  <c r="R33" i="7" s="1"/>
  <c r="R36" i="7" s="1"/>
  <c r="T31" i="6"/>
  <c r="T10" i="4"/>
  <c r="R18" i="4"/>
  <c r="R33" i="4" s="1"/>
  <c r="R36" i="4" s="1"/>
  <c r="Q31" i="57"/>
  <c r="R31" i="57"/>
  <c r="K3" i="57"/>
  <c r="E3" i="57"/>
  <c r="M3" i="57"/>
  <c r="R33" i="57"/>
  <c r="R36" i="57" s="1"/>
  <c r="T5" i="57"/>
  <c r="T18" i="57" s="1"/>
  <c r="T33" i="57" s="1"/>
  <c r="Q18" i="57"/>
  <c r="Q33" i="57" s="1"/>
  <c r="Q36" i="57" s="1"/>
  <c r="G3" i="57"/>
  <c r="T31" i="56"/>
  <c r="T10" i="56"/>
  <c r="T27" i="56"/>
  <c r="R31" i="56"/>
  <c r="K3" i="56"/>
  <c r="E3" i="56"/>
  <c r="M3" i="56"/>
  <c r="W24" i="56"/>
  <c r="R33" i="56"/>
  <c r="R36" i="56" s="1"/>
  <c r="T5" i="56"/>
  <c r="T18" i="56" s="1"/>
  <c r="Q18" i="56"/>
  <c r="Q33" i="56" s="1"/>
  <c r="Q36" i="56" s="1"/>
  <c r="G3" i="56"/>
  <c r="T31" i="55"/>
  <c r="I3" i="55"/>
  <c r="Q31" i="55"/>
  <c r="R31" i="55"/>
  <c r="K3" i="55"/>
  <c r="E3" i="55"/>
  <c r="M3" i="55"/>
  <c r="R33" i="55"/>
  <c r="R36" i="55" s="1"/>
  <c r="T5" i="55"/>
  <c r="T18" i="55" s="1"/>
  <c r="T33" i="55" s="1"/>
  <c r="Q18" i="55"/>
  <c r="Q33" i="55" s="1"/>
  <c r="Q36" i="55" s="1"/>
  <c r="G3" i="55"/>
  <c r="T31" i="54"/>
  <c r="I3" i="54"/>
  <c r="Q31" i="54"/>
  <c r="R31" i="54"/>
  <c r="K3" i="54"/>
  <c r="T5" i="54"/>
  <c r="T18" i="54" s="1"/>
  <c r="T33" i="54" s="1"/>
  <c r="Q18" i="54"/>
  <c r="Q33" i="54" s="1"/>
  <c r="Q36" i="54" s="1"/>
  <c r="G3" i="54"/>
  <c r="T10" i="53"/>
  <c r="T27" i="53"/>
  <c r="T31" i="53" s="1"/>
  <c r="R31" i="53"/>
  <c r="L3" i="53"/>
  <c r="Q31" i="53"/>
  <c r="F3" i="53"/>
  <c r="N3" i="53"/>
  <c r="R33" i="53"/>
  <c r="R36" i="53" s="1"/>
  <c r="T5" i="53"/>
  <c r="Q18" i="53"/>
  <c r="Q33" i="53" s="1"/>
  <c r="Q36" i="53" s="1"/>
  <c r="H3" i="53"/>
  <c r="W20" i="52"/>
  <c r="I3" i="52"/>
  <c r="Q31" i="52"/>
  <c r="K3" i="52"/>
  <c r="T24" i="52"/>
  <c r="T31" i="52" s="1"/>
  <c r="E3" i="52"/>
  <c r="M3" i="52"/>
  <c r="R33" i="52"/>
  <c r="R36" i="52" s="1"/>
  <c r="T5" i="52"/>
  <c r="T18" i="52" s="1"/>
  <c r="T33" i="52" s="1"/>
  <c r="Q18" i="52"/>
  <c r="Q33" i="52" s="1"/>
  <c r="Q36" i="52" s="1"/>
  <c r="G3" i="52"/>
  <c r="Q31" i="51"/>
  <c r="R31" i="51"/>
  <c r="K3" i="51"/>
  <c r="E3" i="51"/>
  <c r="M3" i="51"/>
  <c r="R33" i="51"/>
  <c r="R36" i="51" s="1"/>
  <c r="T5" i="51"/>
  <c r="T18" i="51" s="1"/>
  <c r="T33" i="51" s="1"/>
  <c r="Q18" i="51"/>
  <c r="Q33" i="51" s="1"/>
  <c r="Q36" i="51" s="1"/>
  <c r="G3" i="51"/>
  <c r="T31" i="50"/>
  <c r="I3" i="50"/>
  <c r="Q31" i="50"/>
  <c r="R31" i="50"/>
  <c r="K3" i="50"/>
  <c r="E3" i="50"/>
  <c r="M3" i="50"/>
  <c r="R33" i="50"/>
  <c r="R36" i="50" s="1"/>
  <c r="T5" i="50"/>
  <c r="T18" i="50" s="1"/>
  <c r="T33" i="50" s="1"/>
  <c r="Q18" i="50"/>
  <c r="Q33" i="50" s="1"/>
  <c r="Q36" i="50" s="1"/>
  <c r="G3" i="50"/>
  <c r="T31" i="49"/>
  <c r="I3" i="49"/>
  <c r="Q31" i="49"/>
  <c r="R31" i="49"/>
  <c r="K3" i="49"/>
  <c r="R33" i="49"/>
  <c r="R36" i="49" s="1"/>
  <c r="T5" i="49"/>
  <c r="T18" i="49" s="1"/>
  <c r="T33" i="49" s="1"/>
  <c r="Q18" i="49"/>
  <c r="Q33" i="49" s="1"/>
  <c r="Q36" i="49" s="1"/>
  <c r="G3" i="49"/>
  <c r="R33" i="48"/>
  <c r="R36" i="48" s="1"/>
  <c r="T31" i="48"/>
  <c r="Q31" i="48"/>
  <c r="R31" i="48"/>
  <c r="K3" i="48"/>
  <c r="T5" i="48"/>
  <c r="T18" i="48" s="1"/>
  <c r="T33" i="48" s="1"/>
  <c r="Q18" i="48"/>
  <c r="Q33" i="48" s="1"/>
  <c r="Q36" i="48" s="1"/>
  <c r="G3" i="48"/>
  <c r="I3" i="47"/>
  <c r="Q31" i="47"/>
  <c r="T27" i="47"/>
  <c r="T31" i="47" s="1"/>
  <c r="K3" i="47"/>
  <c r="E3" i="47"/>
  <c r="M3" i="47"/>
  <c r="R33" i="47"/>
  <c r="R36" i="47" s="1"/>
  <c r="T5" i="47"/>
  <c r="T18" i="47" s="1"/>
  <c r="Q18" i="47"/>
  <c r="Q33" i="47" s="1"/>
  <c r="Q36" i="47" s="1"/>
  <c r="G3" i="47"/>
  <c r="I3" i="46"/>
  <c r="Q31" i="46"/>
  <c r="R31" i="46"/>
  <c r="K3" i="46"/>
  <c r="E3" i="46"/>
  <c r="M3" i="46"/>
  <c r="R33" i="46"/>
  <c r="R36" i="46" s="1"/>
  <c r="T5" i="46"/>
  <c r="T18" i="46" s="1"/>
  <c r="T33" i="46" s="1"/>
  <c r="Q18" i="46"/>
  <c r="Q33" i="46" s="1"/>
  <c r="Q36" i="46" s="1"/>
  <c r="G3" i="46"/>
  <c r="T31" i="45"/>
  <c r="Q31" i="45"/>
  <c r="R31" i="45"/>
  <c r="K3" i="45"/>
  <c r="Q33" i="45"/>
  <c r="Q36" i="45" s="1"/>
  <c r="E3" i="45"/>
  <c r="M3" i="45"/>
  <c r="R33" i="45"/>
  <c r="R36" i="45" s="1"/>
  <c r="T5" i="45"/>
  <c r="T18" i="45" s="1"/>
  <c r="T33" i="45" s="1"/>
  <c r="Q18" i="45"/>
  <c r="G3" i="45"/>
  <c r="Q33" i="44"/>
  <c r="Q36" i="44" s="1"/>
  <c r="R33" i="44"/>
  <c r="R36" i="44" s="1"/>
  <c r="T31" i="44"/>
  <c r="I3" i="44"/>
  <c r="Q31" i="44"/>
  <c r="R31" i="44"/>
  <c r="K3" i="44"/>
  <c r="E3" i="44"/>
  <c r="M3" i="44"/>
  <c r="T6" i="44"/>
  <c r="T18" i="44" s="1"/>
  <c r="T33" i="44" s="1"/>
  <c r="W6" i="44"/>
  <c r="G3" i="44"/>
  <c r="T31" i="43"/>
  <c r="I3" i="43"/>
  <c r="Q31" i="43"/>
  <c r="K3" i="43"/>
  <c r="E3" i="43"/>
  <c r="M3" i="43"/>
  <c r="R33" i="43"/>
  <c r="R36" i="43" s="1"/>
  <c r="T5" i="43"/>
  <c r="T18" i="43" s="1"/>
  <c r="T33" i="43" s="1"/>
  <c r="Q18" i="43"/>
  <c r="Q33" i="43" s="1"/>
  <c r="Q36" i="43" s="1"/>
  <c r="G3" i="43"/>
  <c r="T31" i="42"/>
  <c r="I3" i="42"/>
  <c r="Q31" i="42"/>
  <c r="R31" i="42"/>
  <c r="K3" i="42"/>
  <c r="E3" i="42"/>
  <c r="M3" i="42"/>
  <c r="R33" i="42"/>
  <c r="R36" i="42" s="1"/>
  <c r="T5" i="42"/>
  <c r="T18" i="42" s="1"/>
  <c r="T33" i="42" s="1"/>
  <c r="Q18" i="42"/>
  <c r="Q33" i="42" s="1"/>
  <c r="Q36" i="42" s="1"/>
  <c r="G3" i="42"/>
  <c r="I3" i="41"/>
  <c r="Q31" i="41"/>
  <c r="R31" i="41"/>
  <c r="K3" i="41"/>
  <c r="E3" i="41"/>
  <c r="M3" i="41"/>
  <c r="R33" i="41"/>
  <c r="R36" i="41" s="1"/>
  <c r="T5" i="41"/>
  <c r="T18" i="41" s="1"/>
  <c r="T33" i="41" s="1"/>
  <c r="Q18" i="41"/>
  <c r="Q33" i="41" s="1"/>
  <c r="Q36" i="41" s="1"/>
  <c r="G3" i="41"/>
  <c r="T31" i="40"/>
  <c r="I3" i="40"/>
  <c r="Q31" i="40"/>
  <c r="R31" i="40"/>
  <c r="K3" i="40"/>
  <c r="E3" i="40"/>
  <c r="M3" i="40"/>
  <c r="T6" i="40"/>
  <c r="T18" i="40" s="1"/>
  <c r="T33" i="40" s="1"/>
  <c r="Q18" i="40"/>
  <c r="Q33" i="40" s="1"/>
  <c r="Q36" i="40" s="1"/>
  <c r="G3" i="40"/>
  <c r="I3" i="39"/>
  <c r="Q31" i="39"/>
  <c r="R31" i="39"/>
  <c r="K3" i="39"/>
  <c r="E3" i="39"/>
  <c r="M3" i="39"/>
  <c r="R33" i="39"/>
  <c r="R36" i="39" s="1"/>
  <c r="T5" i="39"/>
  <c r="T18" i="39" s="1"/>
  <c r="T33" i="39" s="1"/>
  <c r="Q18" i="39"/>
  <c r="Q33" i="39" s="1"/>
  <c r="Q36" i="39" s="1"/>
  <c r="G3" i="39"/>
  <c r="I3" i="38"/>
  <c r="Q31" i="38"/>
  <c r="R31" i="38"/>
  <c r="K3" i="38"/>
  <c r="E3" i="38"/>
  <c r="M3" i="38"/>
  <c r="R33" i="38"/>
  <c r="R36" i="38" s="1"/>
  <c r="T5" i="38"/>
  <c r="T18" i="38" s="1"/>
  <c r="T33" i="38" s="1"/>
  <c r="Q18" i="38"/>
  <c r="Q33" i="38" s="1"/>
  <c r="Q36" i="38" s="1"/>
  <c r="G3" i="38"/>
  <c r="T31" i="37"/>
  <c r="Q31" i="37"/>
  <c r="R31" i="37"/>
  <c r="K3" i="37"/>
  <c r="E3" i="37"/>
  <c r="M3" i="37"/>
  <c r="R33" i="37"/>
  <c r="R36" i="37" s="1"/>
  <c r="T5" i="37"/>
  <c r="T18" i="37" s="1"/>
  <c r="T33" i="37" s="1"/>
  <c r="Q18" i="37"/>
  <c r="Q33" i="37" s="1"/>
  <c r="Q36" i="37" s="1"/>
  <c r="G3" i="37"/>
  <c r="R33" i="36"/>
  <c r="R36" i="36" s="1"/>
  <c r="T31" i="36"/>
  <c r="I3" i="36"/>
  <c r="Q31" i="36"/>
  <c r="R31" i="36"/>
  <c r="K3" i="36"/>
  <c r="E3" i="36"/>
  <c r="M3" i="36"/>
  <c r="T6" i="36"/>
  <c r="T18" i="36" s="1"/>
  <c r="T33" i="36" s="1"/>
  <c r="Q18" i="36"/>
  <c r="Q33" i="36" s="1"/>
  <c r="Q36" i="36" s="1"/>
  <c r="G3" i="36"/>
  <c r="T31" i="35"/>
  <c r="J3" i="35"/>
  <c r="Q31" i="35"/>
  <c r="R31" i="35"/>
  <c r="L3" i="35"/>
  <c r="F3" i="35"/>
  <c r="N3" i="35"/>
  <c r="R33" i="35"/>
  <c r="R36" i="35" s="1"/>
  <c r="T5" i="35"/>
  <c r="T18" i="35" s="1"/>
  <c r="T33" i="35" s="1"/>
  <c r="Q18" i="35"/>
  <c r="Q33" i="35" s="1"/>
  <c r="Q36" i="35" s="1"/>
  <c r="H3" i="35"/>
  <c r="Q31" i="34"/>
  <c r="R31" i="34"/>
  <c r="R33" i="34"/>
  <c r="R36" i="34" s="1"/>
  <c r="T5" i="34"/>
  <c r="T18" i="34" s="1"/>
  <c r="T33" i="34" s="1"/>
  <c r="Q18" i="34"/>
  <c r="Q33" i="34" s="1"/>
  <c r="Q36" i="34" s="1"/>
  <c r="T31" i="33"/>
  <c r="Q31" i="33"/>
  <c r="R31" i="33"/>
  <c r="K3" i="33"/>
  <c r="E3" i="33"/>
  <c r="M3" i="33"/>
  <c r="T5" i="33"/>
  <c r="T18" i="33" s="1"/>
  <c r="T33" i="33" s="1"/>
  <c r="Q18" i="33"/>
  <c r="Q33" i="33" s="1"/>
  <c r="Q36" i="33" s="1"/>
  <c r="G3" i="33"/>
  <c r="T31" i="32"/>
  <c r="Q31" i="32"/>
  <c r="R31" i="32"/>
  <c r="K3" i="32"/>
  <c r="E3" i="32"/>
  <c r="M3" i="32"/>
  <c r="T5" i="32"/>
  <c r="T18" i="32" s="1"/>
  <c r="T33" i="32" s="1"/>
  <c r="Q18" i="32"/>
  <c r="Q33" i="32" s="1"/>
  <c r="Q36" i="32" s="1"/>
  <c r="G3" i="32"/>
  <c r="R33" i="31"/>
  <c r="R36" i="31" s="1"/>
  <c r="T31" i="31"/>
  <c r="I3" i="31"/>
  <c r="Q31" i="31"/>
  <c r="R31" i="31"/>
  <c r="K3" i="31"/>
  <c r="E3" i="31"/>
  <c r="M3" i="31"/>
  <c r="T6" i="31"/>
  <c r="T18" i="31" s="1"/>
  <c r="T33" i="31" s="1"/>
  <c r="Q18" i="31"/>
  <c r="Q33" i="31" s="1"/>
  <c r="Q36" i="31" s="1"/>
  <c r="G3" i="31"/>
  <c r="R33" i="30"/>
  <c r="R36" i="30" s="1"/>
  <c r="T31" i="30"/>
  <c r="I3" i="30"/>
  <c r="Q31" i="30"/>
  <c r="R31" i="30"/>
  <c r="K3" i="30"/>
  <c r="E3" i="30"/>
  <c r="M3" i="30"/>
  <c r="T6" i="30"/>
  <c r="T18" i="30" s="1"/>
  <c r="T33" i="30" s="1"/>
  <c r="Q18" i="30"/>
  <c r="Q33" i="30" s="1"/>
  <c r="Q36" i="30" s="1"/>
  <c r="G3" i="30"/>
  <c r="T10" i="29"/>
  <c r="R31" i="29"/>
  <c r="K3" i="29"/>
  <c r="Q31" i="29"/>
  <c r="E3" i="29"/>
  <c r="M3" i="29"/>
  <c r="R33" i="29"/>
  <c r="R36" i="29" s="1"/>
  <c r="T5" i="29"/>
  <c r="Q18" i="29"/>
  <c r="Q33" i="29" s="1"/>
  <c r="Q36" i="29" s="1"/>
  <c r="G3" i="29"/>
  <c r="I3" i="28"/>
  <c r="Q31" i="28"/>
  <c r="R31" i="28"/>
  <c r="K3" i="28"/>
  <c r="Q33" i="28"/>
  <c r="Q36" i="28" s="1"/>
  <c r="E3" i="28"/>
  <c r="R33" i="28"/>
  <c r="R36" i="28" s="1"/>
  <c r="T5" i="28"/>
  <c r="T18" i="28" s="1"/>
  <c r="T33" i="28" s="1"/>
  <c r="T31" i="27"/>
  <c r="Q31" i="27"/>
  <c r="R31" i="27"/>
  <c r="K3" i="27"/>
  <c r="E3" i="27"/>
  <c r="M3" i="27"/>
  <c r="T5" i="27"/>
  <c r="T18" i="27" s="1"/>
  <c r="T33" i="27" s="1"/>
  <c r="Q18" i="27"/>
  <c r="Q33" i="27" s="1"/>
  <c r="Q36" i="27" s="1"/>
  <c r="G3" i="27"/>
  <c r="T31" i="26"/>
  <c r="Q31" i="26"/>
  <c r="R31" i="26"/>
  <c r="K3" i="26"/>
  <c r="E3" i="26"/>
  <c r="M3" i="26"/>
  <c r="R33" i="26"/>
  <c r="R36" i="26" s="1"/>
  <c r="T5" i="26"/>
  <c r="T18" i="26" s="1"/>
  <c r="T33" i="26" s="1"/>
  <c r="Q18" i="26"/>
  <c r="Q33" i="26" s="1"/>
  <c r="Q36" i="26" s="1"/>
  <c r="G3" i="26"/>
  <c r="Q31" i="25"/>
  <c r="T10" i="25"/>
  <c r="R31" i="25"/>
  <c r="K3" i="25"/>
  <c r="E3" i="25"/>
  <c r="M3" i="25"/>
  <c r="T5" i="25"/>
  <c r="Q18" i="25"/>
  <c r="Q33" i="25" s="1"/>
  <c r="Q36" i="25" s="1"/>
  <c r="G3" i="25"/>
  <c r="I3" i="24"/>
  <c r="Q31" i="24"/>
  <c r="R31" i="24"/>
  <c r="K3" i="24"/>
  <c r="E3" i="24"/>
  <c r="M3" i="24"/>
  <c r="R33" i="24"/>
  <c r="R36" i="24" s="1"/>
  <c r="T5" i="24"/>
  <c r="T18" i="24" s="1"/>
  <c r="T33" i="24" s="1"/>
  <c r="Q18" i="24"/>
  <c r="Q33" i="24" s="1"/>
  <c r="Q36" i="24" s="1"/>
  <c r="G3" i="24"/>
  <c r="I3" i="23"/>
  <c r="Q31" i="23"/>
  <c r="R31" i="23"/>
  <c r="K3" i="23"/>
  <c r="Q33" i="23"/>
  <c r="Q36" i="23" s="1"/>
  <c r="T5" i="23"/>
  <c r="T18" i="23" s="1"/>
  <c r="T33" i="23" s="1"/>
  <c r="Q18" i="23"/>
  <c r="G3" i="23"/>
  <c r="T31" i="22"/>
  <c r="I3" i="22"/>
  <c r="Q31" i="22"/>
  <c r="K3" i="22"/>
  <c r="R31" i="22"/>
  <c r="U9" i="22"/>
  <c r="U26" i="22"/>
  <c r="E3" i="22"/>
  <c r="M3" i="22"/>
  <c r="T5" i="22"/>
  <c r="T18" i="22" s="1"/>
  <c r="T33" i="22" s="1"/>
  <c r="Q18" i="22"/>
  <c r="Q33" i="22" s="1"/>
  <c r="Q36" i="22" s="1"/>
  <c r="G3" i="22"/>
  <c r="Q31" i="21"/>
  <c r="R31" i="21"/>
  <c r="K3" i="21"/>
  <c r="D3" i="21"/>
  <c r="E3" i="21"/>
  <c r="M3" i="21"/>
  <c r="T5" i="21"/>
  <c r="T18" i="21" s="1"/>
  <c r="T33" i="21" s="1"/>
  <c r="Q18" i="21"/>
  <c r="Q33" i="21" s="1"/>
  <c r="Q36" i="21" s="1"/>
  <c r="G3" i="21"/>
  <c r="T31" i="20"/>
  <c r="I3" i="20"/>
  <c r="Q31" i="20"/>
  <c r="R31" i="20"/>
  <c r="K3" i="20"/>
  <c r="T5" i="20"/>
  <c r="T18" i="20" s="1"/>
  <c r="T33" i="20" s="1"/>
  <c r="Q18" i="20"/>
  <c r="Q33" i="20" s="1"/>
  <c r="Q36" i="20" s="1"/>
  <c r="G3" i="20"/>
  <c r="T10" i="19"/>
  <c r="T18" i="19" s="1"/>
  <c r="T27" i="19"/>
  <c r="T31" i="19" s="1"/>
  <c r="R31" i="19"/>
  <c r="K3" i="19"/>
  <c r="Q31" i="19"/>
  <c r="D3" i="19"/>
  <c r="E3" i="19"/>
  <c r="M3" i="19"/>
  <c r="R33" i="19"/>
  <c r="R36" i="19" s="1"/>
  <c r="Q18" i="19"/>
  <c r="Q33" i="19" s="1"/>
  <c r="Q36" i="19" s="1"/>
  <c r="G3" i="19"/>
  <c r="T31" i="18"/>
  <c r="I3" i="18"/>
  <c r="Q31" i="18"/>
  <c r="R31" i="18"/>
  <c r="K3" i="18"/>
  <c r="D3" i="18"/>
  <c r="E3" i="18"/>
  <c r="M3" i="18"/>
  <c r="R33" i="18"/>
  <c r="R36" i="18" s="1"/>
  <c r="T5" i="18"/>
  <c r="T18" i="18" s="1"/>
  <c r="T33" i="18" s="1"/>
  <c r="Q18" i="18"/>
  <c r="Q33" i="18" s="1"/>
  <c r="Q36" i="18" s="1"/>
  <c r="G3" i="18"/>
  <c r="T31" i="17"/>
  <c r="I3" i="17"/>
  <c r="Q31" i="17"/>
  <c r="R31" i="17"/>
  <c r="K3" i="17"/>
  <c r="D3" i="17"/>
  <c r="E3" i="17"/>
  <c r="M3" i="17"/>
  <c r="R33" i="17"/>
  <c r="R36" i="17" s="1"/>
  <c r="T5" i="17"/>
  <c r="T18" i="17" s="1"/>
  <c r="T33" i="17" s="1"/>
  <c r="Q18" i="17"/>
  <c r="Q33" i="17" s="1"/>
  <c r="Q36" i="17" s="1"/>
  <c r="G3" i="17"/>
  <c r="T31" i="16"/>
  <c r="I3" i="16"/>
  <c r="Q31" i="16"/>
  <c r="R31" i="16"/>
  <c r="K3" i="16"/>
  <c r="D3" i="16"/>
  <c r="E3" i="16"/>
  <c r="M3" i="16"/>
  <c r="R33" i="16"/>
  <c r="R36" i="16" s="1"/>
  <c r="T5" i="16"/>
  <c r="T18" i="16" s="1"/>
  <c r="T33" i="16" s="1"/>
  <c r="Q18" i="16"/>
  <c r="Q33" i="16" s="1"/>
  <c r="Q36" i="16" s="1"/>
  <c r="G3" i="16"/>
  <c r="I3" i="15"/>
  <c r="Q31" i="15"/>
  <c r="R31" i="15"/>
  <c r="K3" i="15"/>
  <c r="D3" i="15"/>
  <c r="E3" i="15"/>
  <c r="M3" i="15"/>
  <c r="T5" i="15"/>
  <c r="T18" i="15" s="1"/>
  <c r="T33" i="15" s="1"/>
  <c r="Q18" i="15"/>
  <c r="Q33" i="15" s="1"/>
  <c r="Q36" i="15" s="1"/>
  <c r="G3" i="15"/>
  <c r="T10" i="14"/>
  <c r="T27" i="14"/>
  <c r="T31" i="14" s="1"/>
  <c r="R31" i="14"/>
  <c r="K3" i="14"/>
  <c r="Q31" i="14"/>
  <c r="D3" i="14"/>
  <c r="E3" i="14"/>
  <c r="M3" i="14"/>
  <c r="R33" i="14"/>
  <c r="R36" i="14" s="1"/>
  <c r="T5" i="14"/>
  <c r="Q18" i="14"/>
  <c r="Q33" i="14" s="1"/>
  <c r="Q36" i="14" s="1"/>
  <c r="G3" i="14"/>
  <c r="T31" i="13"/>
  <c r="I3" i="13"/>
  <c r="Q31" i="13"/>
  <c r="R31" i="13"/>
  <c r="K3" i="13"/>
  <c r="D3" i="13"/>
  <c r="E3" i="13"/>
  <c r="M3" i="13"/>
  <c r="T5" i="13"/>
  <c r="T18" i="13" s="1"/>
  <c r="T33" i="13" s="1"/>
  <c r="Q18" i="13"/>
  <c r="Q33" i="13" s="1"/>
  <c r="Q36" i="13" s="1"/>
  <c r="G3" i="13"/>
  <c r="T31" i="12"/>
  <c r="I3" i="12"/>
  <c r="Q31" i="12"/>
  <c r="R31" i="12"/>
  <c r="K3" i="12"/>
  <c r="T5" i="12"/>
  <c r="T18" i="12" s="1"/>
  <c r="T33" i="12" s="1"/>
  <c r="Q18" i="12"/>
  <c r="Q33" i="12" s="1"/>
  <c r="Q36" i="12" s="1"/>
  <c r="G3" i="12"/>
  <c r="T31" i="11"/>
  <c r="I3" i="11"/>
  <c r="Q31" i="11"/>
  <c r="K3" i="11"/>
  <c r="R31" i="11"/>
  <c r="D3" i="11"/>
  <c r="U26" i="11"/>
  <c r="E3" i="11"/>
  <c r="M3" i="11"/>
  <c r="T5" i="11"/>
  <c r="T18" i="11" s="1"/>
  <c r="T33" i="11" s="1"/>
  <c r="Q18" i="11"/>
  <c r="Q33" i="11" s="1"/>
  <c r="Q36" i="11" s="1"/>
  <c r="G3" i="11"/>
  <c r="Q31" i="10"/>
  <c r="K3" i="10"/>
  <c r="D3" i="10"/>
  <c r="U9" i="10"/>
  <c r="T24" i="10"/>
  <c r="T31" i="10" s="1"/>
  <c r="U26" i="10"/>
  <c r="E3" i="10"/>
  <c r="M3" i="10"/>
  <c r="T5" i="10"/>
  <c r="T18" i="10" s="1"/>
  <c r="Q18" i="10"/>
  <c r="Q33" i="10" s="1"/>
  <c r="Q36" i="10" s="1"/>
  <c r="G3" i="10"/>
  <c r="I3" i="9"/>
  <c r="Q31" i="9"/>
  <c r="K3" i="9"/>
  <c r="D3" i="9"/>
  <c r="U9" i="9"/>
  <c r="T24" i="9"/>
  <c r="T31" i="9" s="1"/>
  <c r="U26" i="9"/>
  <c r="E3" i="9"/>
  <c r="M3" i="9"/>
  <c r="T5" i="9"/>
  <c r="T18" i="9" s="1"/>
  <c r="Q18" i="9"/>
  <c r="Q33" i="9" s="1"/>
  <c r="Q36" i="9" s="1"/>
  <c r="G3" i="9"/>
  <c r="R18" i="8"/>
  <c r="R33" i="8" s="1"/>
  <c r="R36" i="8" s="1"/>
  <c r="I3" i="8"/>
  <c r="T11" i="8"/>
  <c r="T18" i="8" s="1"/>
  <c r="T28" i="8"/>
  <c r="T31" i="8" s="1"/>
  <c r="Q31" i="8"/>
  <c r="R31" i="8"/>
  <c r="D3" i="8"/>
  <c r="K3" i="8"/>
  <c r="E3" i="8"/>
  <c r="T31" i="7"/>
  <c r="Q31" i="7"/>
  <c r="R31" i="7"/>
  <c r="K3" i="7"/>
  <c r="D3" i="7"/>
  <c r="E3" i="7"/>
  <c r="M3" i="7"/>
  <c r="T5" i="7"/>
  <c r="T18" i="7" s="1"/>
  <c r="T33" i="7" s="1"/>
  <c r="Q18" i="7"/>
  <c r="Q33" i="7" s="1"/>
  <c r="Q36" i="7" s="1"/>
  <c r="G3" i="7"/>
  <c r="I3" i="6"/>
  <c r="Q31" i="6"/>
  <c r="R31" i="6"/>
  <c r="K3" i="6"/>
  <c r="D3" i="6"/>
  <c r="E3" i="6"/>
  <c r="M3" i="6"/>
  <c r="T5" i="6"/>
  <c r="T18" i="6" s="1"/>
  <c r="T33" i="6" s="1"/>
  <c r="Q18" i="6"/>
  <c r="Q33" i="6" s="1"/>
  <c r="Q36" i="6" s="1"/>
  <c r="G3" i="6"/>
  <c r="K3" i="4"/>
  <c r="D3" i="4"/>
  <c r="T24" i="4"/>
  <c r="T31" i="4" s="1"/>
  <c r="Q31" i="4"/>
  <c r="E3" i="4"/>
  <c r="M3" i="4"/>
  <c r="T5" i="4"/>
  <c r="Q18" i="4"/>
  <c r="Q33" i="4" s="1"/>
  <c r="Q36" i="4" s="1"/>
  <c r="G3" i="4"/>
  <c r="L18" i="1"/>
  <c r="K18" i="1"/>
  <c r="J18" i="1"/>
  <c r="I18" i="1"/>
  <c r="H18" i="1"/>
  <c r="G18" i="1"/>
  <c r="F18" i="1"/>
  <c r="E18" i="1"/>
  <c r="D18" i="1"/>
  <c r="B30" i="1"/>
  <c r="S30" i="1" s="1"/>
  <c r="B30" i="3" s="1"/>
  <c r="S30" i="3" s="1"/>
  <c r="B30" i="4" s="1"/>
  <c r="B28" i="1"/>
  <c r="S28" i="1" s="1"/>
  <c r="B28" i="3" s="1"/>
  <c r="S28" i="3" s="1"/>
  <c r="B28" i="4" s="1"/>
  <c r="B27" i="1"/>
  <c r="S27" i="1" s="1"/>
  <c r="B27" i="3" s="1"/>
  <c r="S27" i="3" s="1"/>
  <c r="B27" i="4" s="1"/>
  <c r="S27" i="4" s="1"/>
  <c r="B27" i="6" s="1"/>
  <c r="S27" i="6" s="1"/>
  <c r="B27" i="7" s="1"/>
  <c r="S27" i="7" s="1"/>
  <c r="B27" i="8" s="1"/>
  <c r="S27" i="8" s="1"/>
  <c r="B27" i="9" s="1"/>
  <c r="S27" i="9" s="1"/>
  <c r="B27" i="10" s="1"/>
  <c r="S27" i="10" s="1"/>
  <c r="B27" i="11" s="1"/>
  <c r="S27" i="11" s="1"/>
  <c r="B27" i="12" s="1"/>
  <c r="S27" i="12" s="1"/>
  <c r="B27" i="13" s="1"/>
  <c r="S27" i="13" s="1"/>
  <c r="B27" i="14" s="1"/>
  <c r="S27" i="14" s="1"/>
  <c r="B27" i="15" s="1"/>
  <c r="S27" i="15" s="1"/>
  <c r="B27" i="16" s="1"/>
  <c r="S27" i="16" s="1"/>
  <c r="B27" i="17" s="1"/>
  <c r="S27" i="17" s="1"/>
  <c r="B27" i="18" s="1"/>
  <c r="S27" i="18" s="1"/>
  <c r="B27" i="19" s="1"/>
  <c r="S27" i="19" s="1"/>
  <c r="B27" i="20" s="1"/>
  <c r="S27" i="20" s="1"/>
  <c r="B27" i="21" s="1"/>
  <c r="S27" i="21" s="1"/>
  <c r="B27" i="22" s="1"/>
  <c r="S27" i="22" s="1"/>
  <c r="B27" i="23" s="1"/>
  <c r="S27" i="23" s="1"/>
  <c r="B27" i="24" s="1"/>
  <c r="S27" i="24" s="1"/>
  <c r="B27" i="25" s="1"/>
  <c r="S27" i="25" s="1"/>
  <c r="B27" i="26" s="1"/>
  <c r="S27" i="26" s="1"/>
  <c r="B27" i="27" s="1"/>
  <c r="S27" i="27" s="1"/>
  <c r="B27" i="28" s="1"/>
  <c r="S27" i="28" s="1"/>
  <c r="B27" i="29" s="1"/>
  <c r="S27" i="29" s="1"/>
  <c r="B27" i="30" s="1"/>
  <c r="S27" i="30" s="1"/>
  <c r="B27" i="31" s="1"/>
  <c r="S27" i="31" s="1"/>
  <c r="B27" i="32" s="1"/>
  <c r="S27" i="32" s="1"/>
  <c r="B27" i="33" s="1"/>
  <c r="S27" i="33" s="1"/>
  <c r="B27" i="34" s="1"/>
  <c r="S27" i="34" s="1"/>
  <c r="B27" i="35" s="1"/>
  <c r="S27" i="35" s="1"/>
  <c r="B27" i="36" s="1"/>
  <c r="S27" i="36" s="1"/>
  <c r="B27" i="37" s="1"/>
  <c r="S27" i="37" s="1"/>
  <c r="B27" i="38" s="1"/>
  <c r="S27" i="38" s="1"/>
  <c r="B27" i="39" s="1"/>
  <c r="S27" i="39" s="1"/>
  <c r="B27" i="40" s="1"/>
  <c r="S27" i="40" s="1"/>
  <c r="B27" i="41" s="1"/>
  <c r="S27" i="41" s="1"/>
  <c r="B27" i="42" s="1"/>
  <c r="S27" i="42" s="1"/>
  <c r="B27" i="43" s="1"/>
  <c r="S27" i="43" s="1"/>
  <c r="B27" i="44" s="1"/>
  <c r="S27" i="44" s="1"/>
  <c r="B27" i="45" s="1"/>
  <c r="S27" i="45" s="1"/>
  <c r="B27" i="46" s="1"/>
  <c r="S27" i="46" s="1"/>
  <c r="B27" i="47" s="1"/>
  <c r="S27" i="47" s="1"/>
  <c r="B27" i="48" s="1"/>
  <c r="S27" i="48" s="1"/>
  <c r="B27" i="49" s="1"/>
  <c r="S27" i="49" s="1"/>
  <c r="B27" i="50" s="1"/>
  <c r="S27" i="50" s="1"/>
  <c r="B27" i="51" s="1"/>
  <c r="S27" i="51" s="1"/>
  <c r="B27" i="52" s="1"/>
  <c r="S27" i="52" s="1"/>
  <c r="B27" i="53" s="1"/>
  <c r="S27" i="53" s="1"/>
  <c r="B27" i="54" s="1"/>
  <c r="S27" i="54" s="1"/>
  <c r="B27" i="55" s="1"/>
  <c r="S27" i="55" s="1"/>
  <c r="B27" i="56" s="1"/>
  <c r="S27" i="56" s="1"/>
  <c r="B27" i="57" s="1"/>
  <c r="S27" i="57" s="1"/>
  <c r="B26" i="1"/>
  <c r="S26" i="1" s="1"/>
  <c r="B26" i="3" s="1"/>
  <c r="S26" i="3" s="1"/>
  <c r="B26" i="4" s="1"/>
  <c r="B24" i="1"/>
  <c r="B23" i="1"/>
  <c r="B22" i="1"/>
  <c r="B20" i="1"/>
  <c r="B17" i="1"/>
  <c r="B15" i="1"/>
  <c r="B14" i="1"/>
  <c r="B12" i="1"/>
  <c r="S12" i="1" s="1"/>
  <c r="B12" i="3" s="1"/>
  <c r="S12" i="3" s="1"/>
  <c r="B12" i="4" s="1"/>
  <c r="B11" i="1"/>
  <c r="S11" i="1" s="1"/>
  <c r="B11" i="3" s="1"/>
  <c r="S11" i="3" s="1"/>
  <c r="B11" i="4" s="1"/>
  <c r="B10" i="1"/>
  <c r="S10" i="1" s="1"/>
  <c r="B10" i="3" s="1"/>
  <c r="S10" i="3" s="1"/>
  <c r="B10" i="4" s="1"/>
  <c r="B9" i="1"/>
  <c r="B7" i="1"/>
  <c r="B6" i="1"/>
  <c r="B5" i="1"/>
  <c r="A30" i="1"/>
  <c r="A28" i="1"/>
  <c r="A27" i="1"/>
  <c r="A26" i="1"/>
  <c r="A24" i="1"/>
  <c r="A23" i="1"/>
  <c r="A22" i="1"/>
  <c r="A20" i="1"/>
  <c r="A17" i="1"/>
  <c r="A15" i="1"/>
  <c r="A14" i="1"/>
  <c r="A12" i="1"/>
  <c r="A11" i="1"/>
  <c r="A10" i="1"/>
  <c r="A9" i="1"/>
  <c r="A7" i="1"/>
  <c r="A6" i="1"/>
  <c r="A5" i="1"/>
  <c r="T33" i="47" l="1"/>
  <c r="T33" i="56"/>
  <c r="F3" i="25"/>
  <c r="E2" i="25"/>
  <c r="E1" i="25" s="1"/>
  <c r="H3" i="29"/>
  <c r="G2" i="29"/>
  <c r="G1" i="29" s="1"/>
  <c r="L3" i="33"/>
  <c r="K2" i="33"/>
  <c r="K1" i="33" s="1"/>
  <c r="L3" i="42"/>
  <c r="K2" i="42"/>
  <c r="K1" i="42" s="1"/>
  <c r="H3" i="56"/>
  <c r="G2" i="56"/>
  <c r="G1" i="56" s="1"/>
  <c r="L3" i="50"/>
  <c r="K2" i="50"/>
  <c r="K1" i="50" s="1"/>
  <c r="N3" i="55"/>
  <c r="M2" i="55"/>
  <c r="M1" i="55" s="1"/>
  <c r="J3" i="20"/>
  <c r="I2" i="20"/>
  <c r="I1" i="20" s="1"/>
  <c r="H3" i="24"/>
  <c r="G2" i="24"/>
  <c r="G1" i="24" s="1"/>
  <c r="F3" i="26"/>
  <c r="E2" i="26"/>
  <c r="E1" i="26" s="1"/>
  <c r="N3" i="27"/>
  <c r="M2" i="27"/>
  <c r="M1" i="27" s="1"/>
  <c r="F3" i="28"/>
  <c r="E2" i="28"/>
  <c r="E1" i="28" s="1"/>
  <c r="F3" i="31"/>
  <c r="E2" i="31"/>
  <c r="E1" i="31" s="1"/>
  <c r="J3" i="38"/>
  <c r="I2" i="38"/>
  <c r="I1" i="38" s="1"/>
  <c r="L3" i="40"/>
  <c r="K2" i="40"/>
  <c r="K1" i="40" s="1"/>
  <c r="H3" i="42"/>
  <c r="G2" i="42"/>
  <c r="G1" i="42" s="1"/>
  <c r="F3" i="43"/>
  <c r="E2" i="43"/>
  <c r="E1" i="43" s="1"/>
  <c r="N3" i="44"/>
  <c r="M2" i="44"/>
  <c r="M1" i="44" s="1"/>
  <c r="L3" i="45"/>
  <c r="K2" i="45"/>
  <c r="K1" i="45" s="1"/>
  <c r="N3" i="46"/>
  <c r="M2" i="46"/>
  <c r="M1" i="46" s="1"/>
  <c r="H3" i="48"/>
  <c r="G2" i="48"/>
  <c r="G1" i="48" s="1"/>
  <c r="H3" i="49"/>
  <c r="G2" i="49"/>
  <c r="G1" i="49" s="1"/>
  <c r="N3" i="51"/>
  <c r="M2" i="51"/>
  <c r="M1" i="51" s="1"/>
  <c r="F3" i="55"/>
  <c r="E2" i="55"/>
  <c r="E1" i="55" s="1"/>
  <c r="L3" i="57"/>
  <c r="K2" i="57"/>
  <c r="K1" i="57" s="1"/>
  <c r="L3" i="25"/>
  <c r="K2" i="25"/>
  <c r="K1" i="25" s="1"/>
  <c r="H3" i="32"/>
  <c r="G2" i="32"/>
  <c r="G1" i="32" s="1"/>
  <c r="F3" i="40"/>
  <c r="E2" i="40"/>
  <c r="E1" i="40" s="1"/>
  <c r="J3" i="24"/>
  <c r="I2" i="24"/>
  <c r="I1" i="24" s="1"/>
  <c r="L3" i="26"/>
  <c r="K2" i="26"/>
  <c r="K1" i="26" s="1"/>
  <c r="F3" i="27"/>
  <c r="E2" i="27"/>
  <c r="E1" i="27" s="1"/>
  <c r="H3" i="30"/>
  <c r="G2" i="30"/>
  <c r="G1" i="30" s="1"/>
  <c r="J3" i="30"/>
  <c r="I2" i="30"/>
  <c r="I1" i="30" s="1"/>
  <c r="L3" i="31"/>
  <c r="K2" i="31"/>
  <c r="K1" i="31" s="1"/>
  <c r="H3" i="33"/>
  <c r="G2" i="33"/>
  <c r="G1" i="33" s="1"/>
  <c r="J3" i="42"/>
  <c r="I2" i="42"/>
  <c r="I1" i="42" s="1"/>
  <c r="L3" i="43"/>
  <c r="K2" i="43"/>
  <c r="K1" i="43" s="1"/>
  <c r="F3" i="44"/>
  <c r="E2" i="44"/>
  <c r="E1" i="44" s="1"/>
  <c r="H3" i="45"/>
  <c r="G2" i="45"/>
  <c r="G1" i="45" s="1"/>
  <c r="F3" i="46"/>
  <c r="E2" i="46"/>
  <c r="E1" i="46" s="1"/>
  <c r="H3" i="50"/>
  <c r="G2" i="50"/>
  <c r="G1" i="50" s="1"/>
  <c r="F3" i="51"/>
  <c r="E2" i="51"/>
  <c r="E1" i="51" s="1"/>
  <c r="J3" i="54"/>
  <c r="I2" i="54"/>
  <c r="I1" i="54" s="1"/>
  <c r="L3" i="55"/>
  <c r="K2" i="55"/>
  <c r="K1" i="55" s="1"/>
  <c r="F3" i="50"/>
  <c r="E2" i="50"/>
  <c r="E1" i="50" s="1"/>
  <c r="H3" i="38"/>
  <c r="G2" i="38"/>
  <c r="G1" i="38" s="1"/>
  <c r="F3" i="57"/>
  <c r="E2" i="57"/>
  <c r="E1" i="57" s="1"/>
  <c r="L3" i="28"/>
  <c r="K2" i="28"/>
  <c r="K1" i="28" s="1"/>
  <c r="H3" i="36"/>
  <c r="G2" i="36"/>
  <c r="G1" i="36" s="1"/>
  <c r="N3" i="41"/>
  <c r="M2" i="41"/>
  <c r="M1" i="41" s="1"/>
  <c r="L3" i="46"/>
  <c r="K2" i="46"/>
  <c r="K1" i="46" s="1"/>
  <c r="J3" i="50"/>
  <c r="I2" i="50"/>
  <c r="I1" i="50" s="1"/>
  <c r="H3" i="57"/>
  <c r="G2" i="57"/>
  <c r="G1" i="57" s="1"/>
  <c r="N3" i="22"/>
  <c r="M2" i="22"/>
  <c r="M1" i="22" s="1"/>
  <c r="F3" i="36"/>
  <c r="E2" i="36"/>
  <c r="E1" i="36" s="1"/>
  <c r="H3" i="23"/>
  <c r="G2" i="23"/>
  <c r="G1" i="23" s="1"/>
  <c r="N3" i="31"/>
  <c r="M2" i="31"/>
  <c r="M1" i="31" s="1"/>
  <c r="J3" i="41"/>
  <c r="I2" i="41"/>
  <c r="I1" i="41" s="1"/>
  <c r="H3" i="25"/>
  <c r="G2" i="25"/>
  <c r="G1" i="25" s="1"/>
  <c r="J3" i="36"/>
  <c r="I2" i="36"/>
  <c r="I1" i="36" s="1"/>
  <c r="L3" i="51"/>
  <c r="K2" i="51"/>
  <c r="K1" i="51" s="1"/>
  <c r="F3" i="19"/>
  <c r="E2" i="19"/>
  <c r="E1" i="19" s="1"/>
  <c r="H3" i="22"/>
  <c r="G2" i="22"/>
  <c r="G1" i="22" s="1"/>
  <c r="L3" i="22"/>
  <c r="K2" i="22"/>
  <c r="K1" i="22" s="1"/>
  <c r="H3" i="26"/>
  <c r="G2" i="26"/>
  <c r="G1" i="26" s="1"/>
  <c r="F3" i="29"/>
  <c r="E2" i="29"/>
  <c r="E1" i="29" s="1"/>
  <c r="N3" i="32"/>
  <c r="M2" i="32"/>
  <c r="M1" i="32" s="1"/>
  <c r="N3" i="38"/>
  <c r="M2" i="38"/>
  <c r="M1" i="38" s="1"/>
  <c r="H3" i="40"/>
  <c r="G2" i="40"/>
  <c r="G1" i="40" s="1"/>
  <c r="J3" i="40"/>
  <c r="I2" i="40"/>
  <c r="I1" i="40" s="1"/>
  <c r="F3" i="41"/>
  <c r="E2" i="41"/>
  <c r="E1" i="41" s="1"/>
  <c r="H3" i="43"/>
  <c r="G2" i="43"/>
  <c r="G1" i="43" s="1"/>
  <c r="J3" i="43"/>
  <c r="I2" i="43"/>
  <c r="I1" i="43" s="1"/>
  <c r="L3" i="48"/>
  <c r="K2" i="48"/>
  <c r="K1" i="48" s="1"/>
  <c r="H3" i="54"/>
  <c r="G2" i="54"/>
  <c r="G1" i="54" s="1"/>
  <c r="H3" i="55"/>
  <c r="G2" i="55"/>
  <c r="G1" i="55" s="1"/>
  <c r="N3" i="56"/>
  <c r="M2" i="56"/>
  <c r="M1" i="56" s="1"/>
  <c r="L3" i="19"/>
  <c r="K2" i="19"/>
  <c r="K1" i="19" s="1"/>
  <c r="L3" i="24"/>
  <c r="K2" i="24"/>
  <c r="K1" i="24" s="1"/>
  <c r="L3" i="30"/>
  <c r="K2" i="30"/>
  <c r="K1" i="30" s="1"/>
  <c r="N3" i="40"/>
  <c r="M2" i="40"/>
  <c r="M1" i="40" s="1"/>
  <c r="F3" i="45"/>
  <c r="E2" i="45"/>
  <c r="E1" i="45" s="1"/>
  <c r="N3" i="57"/>
  <c r="M2" i="57"/>
  <c r="M1" i="57" s="1"/>
  <c r="J3" i="23"/>
  <c r="I2" i="23"/>
  <c r="I1" i="23" s="1"/>
  <c r="L3" i="36"/>
  <c r="K2" i="36"/>
  <c r="K1" i="36" s="1"/>
  <c r="H3" i="20"/>
  <c r="G2" i="20"/>
  <c r="G1" i="20" s="1"/>
  <c r="N3" i="29"/>
  <c r="M2" i="29"/>
  <c r="M1" i="29" s="1"/>
  <c r="L3" i="44"/>
  <c r="K2" i="44"/>
  <c r="K1" i="44" s="1"/>
  <c r="L3" i="23"/>
  <c r="K2" i="23"/>
  <c r="K1" i="23" s="1"/>
  <c r="N3" i="24"/>
  <c r="M2" i="24"/>
  <c r="M1" i="24" s="1"/>
  <c r="N3" i="30"/>
  <c r="M2" i="30"/>
  <c r="M1" i="30" s="1"/>
  <c r="H3" i="31"/>
  <c r="G2" i="31"/>
  <c r="G1" i="31" s="1"/>
  <c r="J3" i="31"/>
  <c r="I2" i="31"/>
  <c r="I1" i="31" s="1"/>
  <c r="F3" i="32"/>
  <c r="E2" i="32"/>
  <c r="E1" i="32" s="1"/>
  <c r="N3" i="33"/>
  <c r="M2" i="33"/>
  <c r="M1" i="33" s="1"/>
  <c r="F3" i="38"/>
  <c r="E2" i="38"/>
  <c r="E1" i="38" s="1"/>
  <c r="L3" i="41"/>
  <c r="K2" i="41"/>
  <c r="K1" i="41" s="1"/>
  <c r="N3" i="42"/>
  <c r="M2" i="42"/>
  <c r="M1" i="42" s="1"/>
  <c r="H3" i="46"/>
  <c r="G2" i="46"/>
  <c r="G1" i="46" s="1"/>
  <c r="L3" i="49"/>
  <c r="K2" i="49"/>
  <c r="K1" i="49" s="1"/>
  <c r="H3" i="51"/>
  <c r="G2" i="51"/>
  <c r="G1" i="51" s="1"/>
  <c r="J3" i="55"/>
  <c r="I2" i="55"/>
  <c r="I1" i="55" s="1"/>
  <c r="F3" i="56"/>
  <c r="E2" i="56"/>
  <c r="E1" i="56" s="1"/>
  <c r="L3" i="29"/>
  <c r="K2" i="29"/>
  <c r="K1" i="29" s="1"/>
  <c r="H3" i="41"/>
  <c r="G2" i="41"/>
  <c r="G1" i="41" s="1"/>
  <c r="L3" i="54"/>
  <c r="K2" i="54"/>
  <c r="K1" i="54" s="1"/>
  <c r="H3" i="19"/>
  <c r="G2" i="19"/>
  <c r="G1" i="19" s="1"/>
  <c r="F3" i="22"/>
  <c r="E2" i="22"/>
  <c r="E1" i="22" s="1"/>
  <c r="N3" i="26"/>
  <c r="M2" i="26"/>
  <c r="M1" i="26" s="1"/>
  <c r="N3" i="43"/>
  <c r="M2" i="43"/>
  <c r="M1" i="43" s="1"/>
  <c r="J3" i="49"/>
  <c r="I2" i="49"/>
  <c r="I1" i="49" s="1"/>
  <c r="N3" i="19"/>
  <c r="M2" i="19"/>
  <c r="M1" i="19" s="1"/>
  <c r="L3" i="27"/>
  <c r="K2" i="27"/>
  <c r="K1" i="27" s="1"/>
  <c r="L3" i="20"/>
  <c r="K2" i="20"/>
  <c r="K1" i="20" s="1"/>
  <c r="J3" i="22"/>
  <c r="I2" i="22"/>
  <c r="I1" i="22" s="1"/>
  <c r="F3" i="24"/>
  <c r="E2" i="24"/>
  <c r="E1" i="24" s="1"/>
  <c r="N3" i="25"/>
  <c r="M2" i="25"/>
  <c r="M1" i="25" s="1"/>
  <c r="H3" i="27"/>
  <c r="G2" i="27"/>
  <c r="G1" i="27" s="1"/>
  <c r="J3" i="28"/>
  <c r="I2" i="28"/>
  <c r="I1" i="28" s="1"/>
  <c r="F3" i="30"/>
  <c r="E2" i="30"/>
  <c r="E1" i="30" s="1"/>
  <c r="L3" i="32"/>
  <c r="K2" i="32"/>
  <c r="K1" i="32" s="1"/>
  <c r="F3" i="33"/>
  <c r="E2" i="33"/>
  <c r="E1" i="33" s="1"/>
  <c r="N3" i="36"/>
  <c r="M2" i="36"/>
  <c r="M1" i="36" s="1"/>
  <c r="L3" i="38"/>
  <c r="K2" i="38"/>
  <c r="K1" i="38" s="1"/>
  <c r="F3" i="42"/>
  <c r="E2" i="42"/>
  <c r="E1" i="42" s="1"/>
  <c r="H3" i="44"/>
  <c r="G2" i="44"/>
  <c r="G1" i="44" s="1"/>
  <c r="J3" i="44"/>
  <c r="I2" i="44"/>
  <c r="I1" i="44" s="1"/>
  <c r="N3" i="45"/>
  <c r="M2" i="45"/>
  <c r="M1" i="45" s="1"/>
  <c r="J3" i="46"/>
  <c r="I2" i="46"/>
  <c r="I1" i="46" s="1"/>
  <c r="N3" i="50"/>
  <c r="M2" i="50"/>
  <c r="M1" i="50" s="1"/>
  <c r="L3" i="56"/>
  <c r="K2" i="56"/>
  <c r="K1" i="56" s="1"/>
  <c r="L3" i="52"/>
  <c r="K2" i="52"/>
  <c r="K1" i="52" s="1"/>
  <c r="J3" i="52"/>
  <c r="I2" i="52"/>
  <c r="I1" i="52" s="1"/>
  <c r="N3" i="52"/>
  <c r="M2" i="52"/>
  <c r="M1" i="52" s="1"/>
  <c r="H3" i="52"/>
  <c r="G2" i="52"/>
  <c r="G1" i="52" s="1"/>
  <c r="F3" i="52"/>
  <c r="E2" i="52"/>
  <c r="E1" i="52" s="1"/>
  <c r="J3" i="47"/>
  <c r="I2" i="47"/>
  <c r="I1" i="47" s="1"/>
  <c r="N3" i="47"/>
  <c r="M2" i="47"/>
  <c r="M1" i="47" s="1"/>
  <c r="F3" i="47"/>
  <c r="E2" i="47"/>
  <c r="E1" i="47" s="1"/>
  <c r="L3" i="47"/>
  <c r="K2" i="47"/>
  <c r="K1" i="47" s="1"/>
  <c r="H3" i="47"/>
  <c r="G2" i="47"/>
  <c r="G1" i="47" s="1"/>
  <c r="F3" i="39"/>
  <c r="E2" i="39"/>
  <c r="E1" i="39" s="1"/>
  <c r="L3" i="39"/>
  <c r="K2" i="39"/>
  <c r="K1" i="39" s="1"/>
  <c r="H3" i="39"/>
  <c r="G2" i="39"/>
  <c r="G1" i="39" s="1"/>
  <c r="J3" i="39"/>
  <c r="I2" i="39"/>
  <c r="I1" i="39" s="1"/>
  <c r="N3" i="39"/>
  <c r="M2" i="39"/>
  <c r="M1" i="39" s="1"/>
  <c r="H3" i="37"/>
  <c r="G2" i="37"/>
  <c r="G1" i="37" s="1"/>
  <c r="L3" i="37"/>
  <c r="K2" i="37"/>
  <c r="K1" i="37" s="1"/>
  <c r="N3" i="37"/>
  <c r="M2" i="37"/>
  <c r="M1" i="37" s="1"/>
  <c r="F3" i="37"/>
  <c r="E2" i="37"/>
  <c r="E1" i="37" s="1"/>
  <c r="N3" i="34"/>
  <c r="M2" i="34"/>
  <c r="M1" i="34" s="1"/>
  <c r="F3" i="34"/>
  <c r="E2" i="34"/>
  <c r="E1" i="34" s="1"/>
  <c r="L3" i="34"/>
  <c r="K2" i="34"/>
  <c r="K1" i="34" s="1"/>
  <c r="H3" i="34"/>
  <c r="G2" i="34"/>
  <c r="G1" i="34" s="1"/>
  <c r="J3" i="34"/>
  <c r="I2" i="34"/>
  <c r="I1" i="34" s="1"/>
  <c r="N3" i="21"/>
  <c r="M2" i="21"/>
  <c r="M1" i="21" s="1"/>
  <c r="L3" i="21"/>
  <c r="K2" i="21"/>
  <c r="K1" i="21" s="1"/>
  <c r="H3" i="21"/>
  <c r="G2" i="21"/>
  <c r="G1" i="21" s="1"/>
  <c r="F3" i="21"/>
  <c r="E2" i="21"/>
  <c r="E1" i="21" s="1"/>
  <c r="H3" i="18"/>
  <c r="G2" i="18"/>
  <c r="G1" i="18" s="1"/>
  <c r="F3" i="8"/>
  <c r="E2" i="8"/>
  <c r="E1" i="8" s="1"/>
  <c r="N3" i="10"/>
  <c r="M2" i="10"/>
  <c r="M1" i="10" s="1"/>
  <c r="H3" i="11"/>
  <c r="G2" i="11"/>
  <c r="G1" i="11" s="1"/>
  <c r="L3" i="11"/>
  <c r="K2" i="11"/>
  <c r="K1" i="11" s="1"/>
  <c r="N3" i="13"/>
  <c r="M2" i="13"/>
  <c r="M1" i="13" s="1"/>
  <c r="H3" i="14"/>
  <c r="G2" i="14"/>
  <c r="G1" i="14" s="1"/>
  <c r="L3" i="14"/>
  <c r="K2" i="14"/>
  <c r="K1" i="14" s="1"/>
  <c r="F3" i="15"/>
  <c r="E2" i="15"/>
  <c r="E1" i="15" s="1"/>
  <c r="J3" i="16"/>
  <c r="I2" i="16"/>
  <c r="I1" i="16" s="1"/>
  <c r="J3" i="18"/>
  <c r="I2" i="18"/>
  <c r="I1" i="18" s="1"/>
  <c r="J3" i="7"/>
  <c r="I2" i="7"/>
  <c r="I1" i="7" s="1"/>
  <c r="H3" i="7"/>
  <c r="G2" i="7"/>
  <c r="G1" i="7" s="1"/>
  <c r="N3" i="7"/>
  <c r="M2" i="7"/>
  <c r="M1" i="7" s="1"/>
  <c r="L3" i="8"/>
  <c r="K2" i="8"/>
  <c r="K1" i="8" s="1"/>
  <c r="H3" i="9"/>
  <c r="G2" i="9"/>
  <c r="G1" i="9" s="1"/>
  <c r="F3" i="10"/>
  <c r="E2" i="10"/>
  <c r="E1" i="10" s="1"/>
  <c r="F3" i="13"/>
  <c r="E2" i="13"/>
  <c r="E1" i="13" s="1"/>
  <c r="M2" i="4"/>
  <c r="M1" i="4" s="1"/>
  <c r="H3" i="16"/>
  <c r="G2" i="16"/>
  <c r="G1" i="16" s="1"/>
  <c r="E2" i="4"/>
  <c r="E1" i="4" s="1"/>
  <c r="N3" i="15"/>
  <c r="M2" i="15"/>
  <c r="M1" i="15" s="1"/>
  <c r="F3" i="6"/>
  <c r="E2" i="6"/>
  <c r="E1" i="6" s="1"/>
  <c r="L3" i="6"/>
  <c r="K2" i="6"/>
  <c r="K1" i="6" s="1"/>
  <c r="F3" i="7"/>
  <c r="E2" i="7"/>
  <c r="E1" i="7" s="1"/>
  <c r="L3" i="9"/>
  <c r="K2" i="9"/>
  <c r="K1" i="9" s="1"/>
  <c r="J3" i="11"/>
  <c r="I2" i="11"/>
  <c r="I1" i="11" s="1"/>
  <c r="J3" i="12"/>
  <c r="I2" i="12"/>
  <c r="I1" i="12" s="1"/>
  <c r="L3" i="15"/>
  <c r="K2" i="15"/>
  <c r="K1" i="15" s="1"/>
  <c r="N3" i="16"/>
  <c r="M2" i="16"/>
  <c r="M1" i="16" s="1"/>
  <c r="N3" i="18"/>
  <c r="M2" i="18"/>
  <c r="M1" i="18" s="1"/>
  <c r="N3" i="6"/>
  <c r="M2" i="6"/>
  <c r="M1" i="6" s="1"/>
  <c r="L3" i="12"/>
  <c r="K2" i="12"/>
  <c r="K1" i="12" s="1"/>
  <c r="K2" i="4"/>
  <c r="K1" i="4" s="1"/>
  <c r="L3" i="13"/>
  <c r="K2" i="13"/>
  <c r="K1" i="13" s="1"/>
  <c r="F3" i="18"/>
  <c r="E2" i="18"/>
  <c r="E1" i="18" s="1"/>
  <c r="H3" i="6"/>
  <c r="G2" i="6"/>
  <c r="G1" i="6" s="1"/>
  <c r="L3" i="7"/>
  <c r="K2" i="7"/>
  <c r="K1" i="7" s="1"/>
  <c r="N3" i="9"/>
  <c r="M2" i="9"/>
  <c r="M1" i="9" s="1"/>
  <c r="J3" i="9"/>
  <c r="I2" i="9"/>
  <c r="I1" i="9" s="1"/>
  <c r="F3" i="11"/>
  <c r="E2" i="11"/>
  <c r="E1" i="11" s="1"/>
  <c r="H3" i="12"/>
  <c r="G2" i="12"/>
  <c r="G1" i="12" s="1"/>
  <c r="H3" i="13"/>
  <c r="G2" i="13"/>
  <c r="G1" i="13" s="1"/>
  <c r="N3" i="14"/>
  <c r="M2" i="14"/>
  <c r="M1" i="14" s="1"/>
  <c r="H3" i="15"/>
  <c r="G2" i="15"/>
  <c r="G1" i="15" s="1"/>
  <c r="O2" i="4"/>
  <c r="O1" i="4" s="1"/>
  <c r="L3" i="10"/>
  <c r="K2" i="10"/>
  <c r="K1" i="10" s="1"/>
  <c r="J3" i="13"/>
  <c r="I2" i="13"/>
  <c r="I1" i="13" s="1"/>
  <c r="J3" i="8"/>
  <c r="I2" i="8"/>
  <c r="I1" i="8" s="1"/>
  <c r="G2" i="4"/>
  <c r="G1" i="4" s="1"/>
  <c r="N3" i="11"/>
  <c r="M2" i="11"/>
  <c r="M1" i="11" s="1"/>
  <c r="F3" i="16"/>
  <c r="E2" i="16"/>
  <c r="E1" i="16" s="1"/>
  <c r="J3" i="6"/>
  <c r="I2" i="6"/>
  <c r="I1" i="6" s="1"/>
  <c r="F3" i="9"/>
  <c r="E2" i="9"/>
  <c r="E1" i="9" s="1"/>
  <c r="H3" i="10"/>
  <c r="G2" i="10"/>
  <c r="G1" i="10" s="1"/>
  <c r="F3" i="14"/>
  <c r="E2" i="14"/>
  <c r="E1" i="14" s="1"/>
  <c r="J3" i="15"/>
  <c r="I2" i="15"/>
  <c r="I1" i="15" s="1"/>
  <c r="L3" i="16"/>
  <c r="K2" i="16"/>
  <c r="K1" i="16" s="1"/>
  <c r="L3" i="18"/>
  <c r="K2" i="18"/>
  <c r="K1" i="18" s="1"/>
  <c r="N3" i="17"/>
  <c r="M2" i="17"/>
  <c r="M1" i="17" s="1"/>
  <c r="F3" i="17"/>
  <c r="E2" i="17"/>
  <c r="E1" i="17" s="1"/>
  <c r="L3" i="17"/>
  <c r="K2" i="17"/>
  <c r="K1" i="17" s="1"/>
  <c r="H3" i="17"/>
  <c r="G2" i="17"/>
  <c r="G1" i="17" s="1"/>
  <c r="J3" i="17"/>
  <c r="I2" i="17"/>
  <c r="I1" i="17" s="1"/>
  <c r="P3" i="4"/>
  <c r="N3" i="4"/>
  <c r="F3" i="4"/>
  <c r="H3" i="4"/>
  <c r="L3" i="4"/>
  <c r="T33" i="10"/>
  <c r="B111" i="5"/>
  <c r="C111" i="5"/>
  <c r="B33" i="1"/>
  <c r="B31" i="1"/>
  <c r="S20" i="1"/>
  <c r="K75" i="5"/>
  <c r="J75" i="5"/>
  <c r="S111" i="5"/>
  <c r="R111" i="5"/>
  <c r="S76" i="5"/>
  <c r="R76" i="5"/>
  <c r="K110" i="5"/>
  <c r="J110" i="5"/>
  <c r="T33" i="9"/>
  <c r="T33" i="8"/>
  <c r="T33" i="19"/>
  <c r="D139" i="5"/>
  <c r="D69" i="5"/>
  <c r="C80" i="5"/>
  <c r="B80" i="5"/>
  <c r="C46" i="5"/>
  <c r="B46" i="5"/>
  <c r="S45" i="5"/>
  <c r="R45" i="5"/>
  <c r="K45" i="5"/>
  <c r="J45" i="5"/>
  <c r="R6" i="5"/>
  <c r="Q7" i="5"/>
  <c r="S6" i="5"/>
  <c r="A6" i="5"/>
  <c r="C5" i="5"/>
  <c r="B5" i="5"/>
  <c r="K5" i="5"/>
  <c r="I6" i="5"/>
  <c r="J5" i="5"/>
  <c r="T18" i="4"/>
  <c r="T33" i="4" s="1"/>
  <c r="T18" i="53"/>
  <c r="T33" i="53" s="1"/>
  <c r="T18" i="29"/>
  <c r="T33" i="29" s="1"/>
  <c r="T18" i="25"/>
  <c r="T33" i="25" s="1"/>
  <c r="T18" i="14"/>
  <c r="T33" i="14" s="1"/>
  <c r="B20" i="3" l="1"/>
  <c r="K76" i="5"/>
  <c r="J76" i="5"/>
  <c r="B112" i="5"/>
  <c r="C112" i="5"/>
  <c r="R77" i="5"/>
  <c r="S77" i="5"/>
  <c r="J111" i="5"/>
  <c r="K111" i="5"/>
  <c r="R112" i="5"/>
  <c r="S112" i="5"/>
  <c r="C81" i="5"/>
  <c r="B81" i="5"/>
  <c r="S46" i="5"/>
  <c r="R46" i="5"/>
  <c r="K46" i="5"/>
  <c r="J46" i="5"/>
  <c r="C47" i="5"/>
  <c r="B47" i="5"/>
  <c r="Q8" i="5"/>
  <c r="S7" i="5"/>
  <c r="R7" i="5"/>
  <c r="A7" i="5"/>
  <c r="B6" i="5"/>
  <c r="C6" i="5"/>
  <c r="K6" i="5"/>
  <c r="I7" i="5"/>
  <c r="J6" i="5"/>
  <c r="T9" i="1"/>
  <c r="R5" i="1"/>
  <c r="Q5" i="1"/>
  <c r="W5" i="1" s="1"/>
  <c r="R113" i="5" l="1"/>
  <c r="S113" i="5"/>
  <c r="S78" i="5"/>
  <c r="R78" i="5"/>
  <c r="S20" i="3"/>
  <c r="K77" i="5"/>
  <c r="J77" i="5"/>
  <c r="J112" i="5"/>
  <c r="K112" i="5"/>
  <c r="C113" i="5"/>
  <c r="B113" i="5"/>
  <c r="B82" i="5"/>
  <c r="C82" i="5"/>
  <c r="K47" i="5"/>
  <c r="J47" i="5"/>
  <c r="C48" i="5"/>
  <c r="B48" i="5"/>
  <c r="S47" i="5"/>
  <c r="R47" i="5"/>
  <c r="Q9" i="5"/>
  <c r="R8" i="5"/>
  <c r="S8" i="5"/>
  <c r="A8" i="5"/>
  <c r="B7" i="5"/>
  <c r="C7" i="5"/>
  <c r="I8" i="5"/>
  <c r="K7" i="5"/>
  <c r="J7" i="5"/>
  <c r="D3" i="1"/>
  <c r="F3" i="1"/>
  <c r="H3" i="1"/>
  <c r="J3" i="1"/>
  <c r="P3" i="1"/>
  <c r="N3" i="1"/>
  <c r="L3" i="1"/>
  <c r="K78" i="5" l="1"/>
  <c r="J78" i="5"/>
  <c r="C114" i="5"/>
  <c r="B114" i="5"/>
  <c r="S79" i="5"/>
  <c r="R79" i="5"/>
  <c r="S114" i="5"/>
  <c r="R114" i="5"/>
  <c r="K113" i="5"/>
  <c r="J113" i="5"/>
  <c r="B20" i="4"/>
  <c r="C83" i="5"/>
  <c r="B83" i="5"/>
  <c r="C49" i="5"/>
  <c r="B49" i="5"/>
  <c r="S48" i="5"/>
  <c r="R48" i="5"/>
  <c r="K48" i="5"/>
  <c r="J48" i="5"/>
  <c r="Q10" i="5"/>
  <c r="S9" i="5"/>
  <c r="R9" i="5"/>
  <c r="A9" i="5"/>
  <c r="C8" i="5"/>
  <c r="B8" i="5"/>
  <c r="I9" i="5"/>
  <c r="K8" i="5"/>
  <c r="J8" i="5"/>
  <c r="J114" i="5" l="1"/>
  <c r="K114" i="5"/>
  <c r="B115" i="5"/>
  <c r="C115" i="5"/>
  <c r="S80" i="5"/>
  <c r="R80" i="5"/>
  <c r="R115" i="5"/>
  <c r="S115" i="5"/>
  <c r="J79" i="5"/>
  <c r="K79" i="5"/>
  <c r="C84" i="5"/>
  <c r="B84" i="5"/>
  <c r="S49" i="5"/>
  <c r="R49" i="5"/>
  <c r="C50" i="5"/>
  <c r="B50" i="5"/>
  <c r="K49" i="5"/>
  <c r="J49" i="5"/>
  <c r="Q11" i="5"/>
  <c r="S10" i="5"/>
  <c r="R10" i="5"/>
  <c r="K9" i="5"/>
  <c r="J9" i="5"/>
  <c r="I10" i="5"/>
  <c r="A10" i="5"/>
  <c r="C9" i="5"/>
  <c r="B9" i="5"/>
  <c r="P18" i="1"/>
  <c r="P33" i="1" s="1"/>
  <c r="D5" i="5" s="1"/>
  <c r="O18" i="1"/>
  <c r="O33" i="1" s="1"/>
  <c r="N18" i="1"/>
  <c r="N33" i="1" s="1"/>
  <c r="D4" i="5" s="1"/>
  <c r="M18" i="1"/>
  <c r="M33" i="1" s="1"/>
  <c r="L33" i="1"/>
  <c r="D3" i="5" s="1"/>
  <c r="K33" i="1"/>
  <c r="J33" i="1"/>
  <c r="I33" i="1"/>
  <c r="H33" i="1"/>
  <c r="G33" i="1"/>
  <c r="F33" i="1"/>
  <c r="E33" i="1"/>
  <c r="D33" i="1"/>
  <c r="F10" i="2"/>
  <c r="F13" i="2" s="1"/>
  <c r="F22" i="2"/>
  <c r="F21" i="2"/>
  <c r="F20" i="2"/>
  <c r="F19" i="2"/>
  <c r="F18" i="2"/>
  <c r="F17" i="2"/>
  <c r="F12" i="2"/>
  <c r="F4" i="2"/>
  <c r="F3" i="2" s="1"/>
  <c r="F2" i="2" s="1"/>
  <c r="C18" i="1"/>
  <c r="C33" i="1" s="1"/>
  <c r="D34" i="5" l="1"/>
  <c r="S116" i="5"/>
  <c r="R116" i="5"/>
  <c r="S81" i="5"/>
  <c r="R81" i="5"/>
  <c r="B116" i="5"/>
  <c r="C116" i="5"/>
  <c r="K80" i="5"/>
  <c r="J80" i="5"/>
  <c r="K115" i="5"/>
  <c r="J115" i="5"/>
  <c r="C85" i="5"/>
  <c r="B85" i="5"/>
  <c r="K50" i="5"/>
  <c r="J50" i="5"/>
  <c r="C51" i="5"/>
  <c r="B51" i="5"/>
  <c r="S50" i="5"/>
  <c r="R50" i="5"/>
  <c r="Q12" i="5"/>
  <c r="S11" i="5"/>
  <c r="R11" i="5"/>
  <c r="A11" i="5"/>
  <c r="B10" i="5"/>
  <c r="C10" i="5"/>
  <c r="J10" i="5"/>
  <c r="I11" i="5"/>
  <c r="K10" i="5"/>
  <c r="F7" i="2"/>
  <c r="D2" i="3" s="1"/>
  <c r="S17" i="1"/>
  <c r="B17" i="3" s="1"/>
  <c r="S17" i="3" s="1"/>
  <c r="B17" i="4" s="1"/>
  <c r="S23" i="1"/>
  <c r="B23" i="3" s="1"/>
  <c r="S23" i="3" s="1"/>
  <c r="B23" i="4" s="1"/>
  <c r="S23" i="4" s="1"/>
  <c r="B23" i="6" s="1"/>
  <c r="S23" i="6" s="1"/>
  <c r="B23" i="7" s="1"/>
  <c r="S23" i="7" s="1"/>
  <c r="B23" i="8" s="1"/>
  <c r="S23" i="8" s="1"/>
  <c r="B23" i="9" s="1"/>
  <c r="S23" i="9" s="1"/>
  <c r="B23" i="10" s="1"/>
  <c r="S23" i="10" s="1"/>
  <c r="B23" i="11" s="1"/>
  <c r="S23" i="11" s="1"/>
  <c r="S24" i="1"/>
  <c r="B24" i="3" s="1"/>
  <c r="S24" i="3" s="1"/>
  <c r="B24" i="4" s="1"/>
  <c r="S14" i="1"/>
  <c r="B14" i="3" s="1"/>
  <c r="S14" i="3" s="1"/>
  <c r="B14" i="4" s="1"/>
  <c r="S5" i="1"/>
  <c r="B5" i="3" s="1"/>
  <c r="S5" i="3" s="1"/>
  <c r="B5" i="4" s="1"/>
  <c r="S7" i="1"/>
  <c r="B7" i="3" s="1"/>
  <c r="S7" i="3" s="1"/>
  <c r="B7" i="4" s="1"/>
  <c r="Q18" i="1"/>
  <c r="Q33" i="1" s="1"/>
  <c r="Q36" i="1" s="1"/>
  <c r="R18" i="1"/>
  <c r="R33" i="1" s="1"/>
  <c r="R36" i="1" s="1"/>
  <c r="S9" i="1"/>
  <c r="B9" i="3" s="1"/>
  <c r="S9" i="3" s="1"/>
  <c r="B9" i="4" s="1"/>
  <c r="S6" i="1"/>
  <c r="B6" i="3" s="1"/>
  <c r="S6" i="3" s="1"/>
  <c r="B6" i="4" s="1"/>
  <c r="F8" i="2"/>
  <c r="H2" i="42" s="1"/>
  <c r="F15" i="2"/>
  <c r="F16" i="2"/>
  <c r="F14" i="2"/>
  <c r="F11" i="2"/>
  <c r="F9" i="2"/>
  <c r="S15" i="1"/>
  <c r="B15" i="3" s="1"/>
  <c r="S22" i="1"/>
  <c r="T5" i="1"/>
  <c r="T18" i="1" s="1"/>
  <c r="T33" i="1" s="1"/>
  <c r="N2" i="36" l="1"/>
  <c r="H2" i="51"/>
  <c r="H2" i="48"/>
  <c r="F2" i="51"/>
  <c r="N2" i="55"/>
  <c r="L2" i="47"/>
  <c r="H2" i="33"/>
  <c r="L2" i="27"/>
  <c r="N2" i="27"/>
  <c r="F2" i="32"/>
  <c r="P2" i="42"/>
  <c r="P2" i="55"/>
  <c r="J2" i="27"/>
  <c r="F2" i="23"/>
  <c r="N2" i="35"/>
  <c r="D2" i="51"/>
  <c r="D2" i="33"/>
  <c r="J2" i="22"/>
  <c r="H2" i="43"/>
  <c r="F2" i="31"/>
  <c r="J2" i="31"/>
  <c r="H2" i="37"/>
  <c r="H2" i="34"/>
  <c r="N2" i="42"/>
  <c r="L2" i="31"/>
  <c r="L2" i="42"/>
  <c r="N2" i="29"/>
  <c r="L2" i="52"/>
  <c r="J2" i="36"/>
  <c r="L2" i="21"/>
  <c r="F2" i="27"/>
  <c r="N2" i="43"/>
  <c r="J2" i="30"/>
  <c r="N2" i="45"/>
  <c r="J2" i="34"/>
  <c r="H2" i="20"/>
  <c r="L2" i="26"/>
  <c r="P2" i="54"/>
  <c r="H2" i="28"/>
  <c r="P2" i="24"/>
  <c r="P2" i="30"/>
  <c r="J2" i="19"/>
  <c r="J2" i="45"/>
  <c r="J2" i="57"/>
  <c r="P2" i="51"/>
  <c r="N2" i="53"/>
  <c r="F2" i="53"/>
  <c r="D2" i="38"/>
  <c r="D2" i="50"/>
  <c r="D2" i="23"/>
  <c r="D2" i="48"/>
  <c r="H2" i="29"/>
  <c r="F2" i="56"/>
  <c r="N2" i="33"/>
  <c r="N2" i="38"/>
  <c r="F2" i="57"/>
  <c r="H2" i="50"/>
  <c r="H2" i="21"/>
  <c r="F2" i="44"/>
  <c r="F2" i="54"/>
  <c r="P2" i="26"/>
  <c r="P2" i="25"/>
  <c r="F2" i="20"/>
  <c r="F2" i="35"/>
  <c r="D2" i="46"/>
  <c r="D2" i="22"/>
  <c r="L2" i="46"/>
  <c r="L2" i="28"/>
  <c r="N2" i="37"/>
  <c r="H2" i="40"/>
  <c r="H2" i="25"/>
  <c r="N2" i="39"/>
  <c r="N2" i="24"/>
  <c r="N2" i="44"/>
  <c r="F2" i="47"/>
  <c r="L2" i="55"/>
  <c r="F2" i="24"/>
  <c r="N2" i="31"/>
  <c r="F2" i="34"/>
  <c r="L2" i="34"/>
  <c r="L2" i="41"/>
  <c r="L2" i="57"/>
  <c r="F2" i="21"/>
  <c r="F2" i="39"/>
  <c r="L2" i="19"/>
  <c r="H2" i="49"/>
  <c r="J2" i="56"/>
  <c r="N2" i="23"/>
  <c r="P2" i="40"/>
  <c r="P2" i="57"/>
  <c r="J2" i="33"/>
  <c r="P2" i="45"/>
  <c r="P2" i="52"/>
  <c r="P2" i="56"/>
  <c r="L2" i="53"/>
  <c r="D2" i="47"/>
  <c r="D2" i="31"/>
  <c r="D2" i="53"/>
  <c r="D2" i="20"/>
  <c r="D2" i="56"/>
  <c r="L2" i="44"/>
  <c r="H2" i="47"/>
  <c r="F2" i="45"/>
  <c r="F2" i="22"/>
  <c r="L2" i="23"/>
  <c r="J2" i="21"/>
  <c r="D2" i="36"/>
  <c r="F2" i="52"/>
  <c r="F2" i="46"/>
  <c r="N2" i="50"/>
  <c r="H2" i="57"/>
  <c r="F2" i="38"/>
  <c r="J2" i="44"/>
  <c r="L2" i="48"/>
  <c r="H2" i="32"/>
  <c r="L2" i="22"/>
  <c r="F2" i="40"/>
  <c r="H2" i="41"/>
  <c r="J2" i="42"/>
  <c r="J2" i="49"/>
  <c r="J2" i="47"/>
  <c r="N2" i="40"/>
  <c r="F2" i="25"/>
  <c r="H2" i="52"/>
  <c r="H2" i="27"/>
  <c r="J2" i="40"/>
  <c r="J2" i="38"/>
  <c r="P2" i="20"/>
  <c r="P2" i="39"/>
  <c r="P2" i="44"/>
  <c r="J2" i="26"/>
  <c r="P2" i="43"/>
  <c r="P2" i="49"/>
  <c r="P2" i="31"/>
  <c r="J2" i="25"/>
  <c r="J2" i="35"/>
  <c r="D2" i="42"/>
  <c r="D2" i="19"/>
  <c r="D2" i="44"/>
  <c r="D2" i="27"/>
  <c r="D2" i="26"/>
  <c r="L2" i="51"/>
  <c r="F2" i="26"/>
  <c r="J2" i="50"/>
  <c r="H2" i="24"/>
  <c r="H2" i="54"/>
  <c r="N2" i="54"/>
  <c r="P2" i="29"/>
  <c r="P2" i="48"/>
  <c r="D2" i="25"/>
  <c r="D2" i="49"/>
  <c r="F2" i="30"/>
  <c r="H2" i="30"/>
  <c r="F2" i="42"/>
  <c r="L2" i="43"/>
  <c r="L2" i="36"/>
  <c r="F2" i="33"/>
  <c r="F2" i="29"/>
  <c r="N2" i="51"/>
  <c r="H2" i="39"/>
  <c r="N2" i="21"/>
  <c r="H2" i="31"/>
  <c r="N2" i="46"/>
  <c r="L2" i="49"/>
  <c r="N2" i="52"/>
  <c r="J2" i="43"/>
  <c r="L2" i="56"/>
  <c r="J2" i="28"/>
  <c r="H2" i="19"/>
  <c r="F2" i="19"/>
  <c r="L2" i="50"/>
  <c r="P2" i="28"/>
  <c r="P2" i="41"/>
  <c r="P2" i="36"/>
  <c r="J2" i="29"/>
  <c r="N2" i="49"/>
  <c r="J2" i="51"/>
  <c r="P2" i="21"/>
  <c r="P2" i="46"/>
  <c r="J2" i="53"/>
  <c r="D2" i="29"/>
  <c r="D2" i="32"/>
  <c r="D2" i="41"/>
  <c r="D2" i="21"/>
  <c r="D2" i="24"/>
  <c r="J2" i="54"/>
  <c r="J2" i="20"/>
  <c r="N2" i="30"/>
  <c r="J2" i="52"/>
  <c r="N2" i="34"/>
  <c r="L2" i="45"/>
  <c r="N2" i="28"/>
  <c r="P2" i="38"/>
  <c r="L2" i="35"/>
  <c r="D2" i="55"/>
  <c r="N2" i="19"/>
  <c r="J2" i="24"/>
  <c r="N2" i="25"/>
  <c r="L2" i="25"/>
  <c r="N2" i="56"/>
  <c r="L2" i="20"/>
  <c r="J2" i="41"/>
  <c r="L2" i="40"/>
  <c r="L2" i="39"/>
  <c r="L2" i="37"/>
  <c r="J2" i="23"/>
  <c r="F2" i="43"/>
  <c r="H2" i="22"/>
  <c r="J2" i="46"/>
  <c r="H2" i="26"/>
  <c r="N2" i="57"/>
  <c r="L2" i="24"/>
  <c r="J2" i="55"/>
  <c r="N2" i="22"/>
  <c r="L2" i="33"/>
  <c r="J2" i="48"/>
  <c r="P2" i="50"/>
  <c r="J2" i="32"/>
  <c r="P2" i="23"/>
  <c r="F2" i="49"/>
  <c r="P2" i="33"/>
  <c r="J2" i="37"/>
  <c r="P2" i="53"/>
  <c r="H2" i="53"/>
  <c r="D2" i="45"/>
  <c r="D2" i="30"/>
  <c r="D2" i="43"/>
  <c r="D2" i="40"/>
  <c r="D2" i="28"/>
  <c r="F2" i="50"/>
  <c r="N2" i="47"/>
  <c r="H2" i="45"/>
  <c r="F2" i="37"/>
  <c r="H2" i="44"/>
  <c r="P2" i="34"/>
  <c r="P2" i="19"/>
  <c r="D2" i="37"/>
  <c r="L2" i="29"/>
  <c r="F2" i="55"/>
  <c r="N2" i="26"/>
  <c r="H2" i="56"/>
  <c r="H2" i="23"/>
  <c r="L2" i="54"/>
  <c r="N2" i="41"/>
  <c r="F2" i="28"/>
  <c r="L2" i="38"/>
  <c r="J2" i="39"/>
  <c r="H2" i="55"/>
  <c r="L2" i="30"/>
  <c r="F2" i="36"/>
  <c r="L2" i="32"/>
  <c r="H2" i="36"/>
  <c r="N2" i="32"/>
  <c r="F2" i="41"/>
  <c r="H2" i="46"/>
  <c r="H2" i="38"/>
  <c r="N2" i="20"/>
  <c r="F2" i="48"/>
  <c r="N2" i="48"/>
  <c r="P2" i="27"/>
  <c r="P2" i="37"/>
  <c r="P2" i="47"/>
  <c r="P2" i="32"/>
  <c r="P2" i="22"/>
  <c r="P2" i="35"/>
  <c r="H2" i="35"/>
  <c r="D2" i="39"/>
  <c r="D2" i="54"/>
  <c r="D2" i="34"/>
  <c r="D2" i="35"/>
  <c r="D2" i="57"/>
  <c r="P2" i="3"/>
  <c r="J2" i="10"/>
  <c r="F2" i="17"/>
  <c r="D2" i="12"/>
  <c r="N2" i="14"/>
  <c r="H2" i="9"/>
  <c r="J2" i="11"/>
  <c r="L2" i="6"/>
  <c r="L2" i="15"/>
  <c r="N2" i="11"/>
  <c r="N2" i="9"/>
  <c r="J2" i="6"/>
  <c r="H2" i="8"/>
  <c r="F2" i="12"/>
  <c r="P2" i="9"/>
  <c r="D2" i="6"/>
  <c r="J2" i="17"/>
  <c r="F2" i="18"/>
  <c r="N2" i="17"/>
  <c r="H2" i="7"/>
  <c r="F2" i="4"/>
  <c r="L2" i="8"/>
  <c r="H2" i="15"/>
  <c r="L2" i="4"/>
  <c r="J2" i="12"/>
  <c r="P2" i="15"/>
  <c r="P2" i="18"/>
  <c r="D2" i="16"/>
  <c r="D2" i="4"/>
  <c r="L2" i="13"/>
  <c r="N2" i="12"/>
  <c r="L2" i="12"/>
  <c r="J2" i="15"/>
  <c r="L2" i="11"/>
  <c r="F2" i="13"/>
  <c r="J2" i="7"/>
  <c r="H2" i="12"/>
  <c r="N2" i="18"/>
  <c r="N2" i="7"/>
  <c r="P2" i="11"/>
  <c r="P2" i="16"/>
  <c r="D2" i="8"/>
  <c r="D2" i="14"/>
  <c r="J2" i="9"/>
  <c r="J2" i="1"/>
  <c r="F2" i="7"/>
  <c r="F2" i="16"/>
  <c r="F2" i="11"/>
  <c r="J2" i="16"/>
  <c r="H2" i="14"/>
  <c r="H2" i="6"/>
  <c r="F2" i="6"/>
  <c r="N2" i="13"/>
  <c r="P2" i="10"/>
  <c r="P2" i="17"/>
  <c r="D2" i="17"/>
  <c r="D2" i="11"/>
  <c r="L2" i="10"/>
  <c r="F2" i="14"/>
  <c r="L2" i="3"/>
  <c r="N2" i="3"/>
  <c r="N2" i="4"/>
  <c r="J2" i="8"/>
  <c r="N2" i="15"/>
  <c r="F2" i="8"/>
  <c r="H2" i="11"/>
  <c r="L2" i="9"/>
  <c r="H2" i="16"/>
  <c r="N2" i="10"/>
  <c r="P2" i="12"/>
  <c r="N2" i="8"/>
  <c r="D2" i="15"/>
  <c r="D2" i="13"/>
  <c r="N2" i="6"/>
  <c r="J2" i="4"/>
  <c r="L2" i="1"/>
  <c r="L2" i="16"/>
  <c r="J2" i="18"/>
  <c r="P2" i="4"/>
  <c r="F2" i="9"/>
  <c r="L2" i="17"/>
  <c r="H2" i="17"/>
  <c r="F2" i="10"/>
  <c r="F2" i="15"/>
  <c r="J2" i="14"/>
  <c r="P2" i="13"/>
  <c r="P2" i="7"/>
  <c r="D2" i="18"/>
  <c r="D2" i="7"/>
  <c r="H2" i="10"/>
  <c r="H2" i="4"/>
  <c r="L2" i="14"/>
  <c r="L2" i="7"/>
  <c r="H2" i="13"/>
  <c r="J2" i="13"/>
  <c r="L2" i="18"/>
  <c r="H2" i="18"/>
  <c r="N2" i="16"/>
  <c r="P2" i="14"/>
  <c r="P2" i="6"/>
  <c r="P2" i="8"/>
  <c r="D2" i="9"/>
  <c r="D2" i="10"/>
  <c r="H2" i="1"/>
  <c r="F2" i="1"/>
  <c r="F2" i="3"/>
  <c r="H2" i="3"/>
  <c r="N2" i="1"/>
  <c r="J2" i="3"/>
  <c r="P2" i="1"/>
  <c r="D2" i="1"/>
  <c r="K81" i="5"/>
  <c r="J81" i="5"/>
  <c r="S82" i="5"/>
  <c r="R82" i="5"/>
  <c r="B22" i="3"/>
  <c r="S31" i="1"/>
  <c r="J116" i="5"/>
  <c r="K116" i="5"/>
  <c r="R117" i="5"/>
  <c r="S117" i="5"/>
  <c r="B117" i="5"/>
  <c r="C117" i="5"/>
  <c r="B86" i="5"/>
  <c r="C86" i="5"/>
  <c r="C52" i="5"/>
  <c r="B52" i="5"/>
  <c r="S51" i="5"/>
  <c r="R51" i="5"/>
  <c r="K51" i="5"/>
  <c r="J51" i="5"/>
  <c r="B18" i="3"/>
  <c r="S15" i="3"/>
  <c r="Q13" i="5"/>
  <c r="R12" i="5"/>
  <c r="S12" i="5"/>
  <c r="K11" i="5"/>
  <c r="J11" i="5"/>
  <c r="I12" i="5"/>
  <c r="A12" i="5"/>
  <c r="C11" i="5"/>
  <c r="B11" i="5"/>
  <c r="B23" i="12"/>
  <c r="S18" i="1"/>
  <c r="S33" i="1" s="1"/>
  <c r="S36" i="1" s="1"/>
  <c r="B33" i="3" l="1"/>
  <c r="S83" i="5"/>
  <c r="R83" i="5"/>
  <c r="S22" i="3"/>
  <c r="B31" i="3"/>
  <c r="S118" i="5"/>
  <c r="R118" i="5"/>
  <c r="J117" i="5"/>
  <c r="K117" i="5"/>
  <c r="J82" i="5"/>
  <c r="K82" i="5"/>
  <c r="C118" i="5"/>
  <c r="B118" i="5"/>
  <c r="C87" i="5"/>
  <c r="B87" i="5"/>
  <c r="S52" i="5"/>
  <c r="R52" i="5"/>
  <c r="K52" i="5"/>
  <c r="J52" i="5"/>
  <c r="C53" i="5"/>
  <c r="B53" i="5"/>
  <c r="B15" i="4"/>
  <c r="S18" i="3"/>
  <c r="Q14" i="5"/>
  <c r="S13" i="5"/>
  <c r="R13" i="5"/>
  <c r="A13" i="5"/>
  <c r="C12" i="5"/>
  <c r="B12" i="5"/>
  <c r="J12" i="5"/>
  <c r="I13" i="5"/>
  <c r="K12" i="5"/>
  <c r="S23" i="12"/>
  <c r="S33" i="3" l="1"/>
  <c r="S36" i="3" s="1"/>
  <c r="S119" i="5"/>
  <c r="R119" i="5"/>
  <c r="K83" i="5"/>
  <c r="J83" i="5"/>
  <c r="B22" i="4"/>
  <c r="S31" i="3"/>
  <c r="K118" i="5"/>
  <c r="J118" i="5"/>
  <c r="B119" i="5"/>
  <c r="C119" i="5"/>
  <c r="R84" i="5"/>
  <c r="S84" i="5"/>
  <c r="C88" i="5"/>
  <c r="B88" i="5"/>
  <c r="K53" i="5"/>
  <c r="J53" i="5"/>
  <c r="C54" i="5"/>
  <c r="B54" i="5"/>
  <c r="S53" i="5"/>
  <c r="R53" i="5"/>
  <c r="Q15" i="5"/>
  <c r="S14" i="5"/>
  <c r="R14" i="5"/>
  <c r="K13" i="5"/>
  <c r="J13" i="5"/>
  <c r="I14" i="5"/>
  <c r="A14" i="5"/>
  <c r="C13" i="5"/>
  <c r="B13" i="5"/>
  <c r="B23" i="13"/>
  <c r="S85" i="5" l="1"/>
  <c r="R85" i="5"/>
  <c r="C120" i="5"/>
  <c r="B120" i="5"/>
  <c r="K84" i="5"/>
  <c r="J84" i="5"/>
  <c r="K119" i="5"/>
  <c r="J119" i="5"/>
  <c r="S120" i="5"/>
  <c r="R120" i="5"/>
  <c r="C89" i="5"/>
  <c r="B89" i="5"/>
  <c r="C55" i="5"/>
  <c r="B55" i="5"/>
  <c r="S54" i="5"/>
  <c r="R54" i="5"/>
  <c r="K54" i="5"/>
  <c r="J54" i="5"/>
  <c r="R15" i="5"/>
  <c r="Q16" i="5"/>
  <c r="S15" i="5"/>
  <c r="A15" i="5"/>
  <c r="B14" i="5"/>
  <c r="C14" i="5"/>
  <c r="I15" i="5"/>
  <c r="K14" i="5"/>
  <c r="J14" i="5"/>
  <c r="S23" i="13"/>
  <c r="S121" i="5" l="1"/>
  <c r="R121" i="5"/>
  <c r="K85" i="5"/>
  <c r="J85" i="5"/>
  <c r="B121" i="5"/>
  <c r="C121" i="5"/>
  <c r="S86" i="5"/>
  <c r="R86" i="5"/>
  <c r="J120" i="5"/>
  <c r="K120" i="5"/>
  <c r="C90" i="5"/>
  <c r="B90" i="5"/>
  <c r="S55" i="5"/>
  <c r="R55" i="5"/>
  <c r="C56" i="5"/>
  <c r="B56" i="5"/>
  <c r="K55" i="5"/>
  <c r="J55" i="5"/>
  <c r="Q17" i="5"/>
  <c r="R16" i="5"/>
  <c r="S16" i="5"/>
  <c r="K15" i="5"/>
  <c r="J15" i="5"/>
  <c r="I16" i="5"/>
  <c r="A16" i="5"/>
  <c r="B15" i="5"/>
  <c r="C15" i="5"/>
  <c r="B23" i="14"/>
  <c r="K121" i="5" l="1"/>
  <c r="J121" i="5"/>
  <c r="K86" i="5"/>
  <c r="J86" i="5"/>
  <c r="S87" i="5"/>
  <c r="R87" i="5"/>
  <c r="S122" i="5"/>
  <c r="R122" i="5"/>
  <c r="B122" i="5"/>
  <c r="C122" i="5"/>
  <c r="B91" i="5"/>
  <c r="C91" i="5"/>
  <c r="C57" i="5"/>
  <c r="B57" i="5"/>
  <c r="K56" i="5"/>
  <c r="J56" i="5"/>
  <c r="S56" i="5"/>
  <c r="R56" i="5"/>
  <c r="R17" i="5"/>
  <c r="Q18" i="5"/>
  <c r="S17" i="5"/>
  <c r="J16" i="5"/>
  <c r="I17" i="5"/>
  <c r="K16" i="5"/>
  <c r="A17" i="5"/>
  <c r="C16" i="5"/>
  <c r="B16" i="5"/>
  <c r="S23" i="14"/>
  <c r="R88" i="5" l="1"/>
  <c r="S88" i="5"/>
  <c r="B123" i="5"/>
  <c r="C123" i="5"/>
  <c r="J87" i="5"/>
  <c r="K87" i="5"/>
  <c r="R123" i="5"/>
  <c r="S123" i="5"/>
  <c r="J122" i="5"/>
  <c r="K122" i="5"/>
  <c r="C92" i="5"/>
  <c r="B92" i="5"/>
  <c r="S57" i="5"/>
  <c r="R57" i="5"/>
  <c r="C58" i="5"/>
  <c r="B58" i="5"/>
  <c r="K57" i="5"/>
  <c r="J57" i="5"/>
  <c r="Q19" i="5"/>
  <c r="R18" i="5"/>
  <c r="S18" i="5"/>
  <c r="A18" i="5"/>
  <c r="C17" i="5"/>
  <c r="B17" i="5"/>
  <c r="K17" i="5"/>
  <c r="J17" i="5"/>
  <c r="I18" i="5"/>
  <c r="B23" i="15"/>
  <c r="K88" i="5" l="1"/>
  <c r="J88" i="5"/>
  <c r="K123" i="5"/>
  <c r="J123" i="5"/>
  <c r="C124" i="5"/>
  <c r="B124" i="5"/>
  <c r="S124" i="5"/>
  <c r="R124" i="5"/>
  <c r="R89" i="5"/>
  <c r="S89" i="5"/>
  <c r="C93" i="5"/>
  <c r="B93" i="5"/>
  <c r="C59" i="5"/>
  <c r="B59" i="5"/>
  <c r="K58" i="5"/>
  <c r="J58" i="5"/>
  <c r="S58" i="5"/>
  <c r="R58" i="5"/>
  <c r="Q20" i="5"/>
  <c r="S19" i="5"/>
  <c r="R19" i="5"/>
  <c r="K18" i="5"/>
  <c r="J18" i="5"/>
  <c r="I19" i="5"/>
  <c r="A19" i="5"/>
  <c r="B18" i="5"/>
  <c r="C18" i="5"/>
  <c r="S23" i="15"/>
  <c r="B125" i="5" l="1"/>
  <c r="C125" i="5"/>
  <c r="R90" i="5"/>
  <c r="S90" i="5"/>
  <c r="K124" i="5"/>
  <c r="J124" i="5"/>
  <c r="R125" i="5"/>
  <c r="S125" i="5"/>
  <c r="K89" i="5"/>
  <c r="J89" i="5"/>
  <c r="C94" i="5"/>
  <c r="B94" i="5"/>
  <c r="K59" i="5"/>
  <c r="J59" i="5"/>
  <c r="S59" i="5"/>
  <c r="R59" i="5"/>
  <c r="C60" i="5"/>
  <c r="B60" i="5"/>
  <c r="R20" i="5"/>
  <c r="Q21" i="5"/>
  <c r="S20" i="5"/>
  <c r="I20" i="5"/>
  <c r="K19" i="5"/>
  <c r="J19" i="5"/>
  <c r="A20" i="5"/>
  <c r="C19" i="5"/>
  <c r="B19" i="5"/>
  <c r="B23" i="16"/>
  <c r="K125" i="5" l="1"/>
  <c r="J125" i="5"/>
  <c r="K90" i="5"/>
  <c r="J90" i="5"/>
  <c r="S91" i="5"/>
  <c r="R91" i="5"/>
  <c r="S126" i="5"/>
  <c r="R126" i="5"/>
  <c r="C126" i="5"/>
  <c r="B126" i="5"/>
  <c r="C95" i="5"/>
  <c r="B95" i="5"/>
  <c r="S60" i="5"/>
  <c r="R60" i="5"/>
  <c r="C61" i="5"/>
  <c r="B61" i="5"/>
  <c r="K60" i="5"/>
  <c r="J60" i="5"/>
  <c r="Q22" i="5"/>
  <c r="S21" i="5"/>
  <c r="R21" i="5"/>
  <c r="A21" i="5"/>
  <c r="C20" i="5"/>
  <c r="B20" i="5"/>
  <c r="J20" i="5"/>
  <c r="K20" i="5"/>
  <c r="I21" i="5"/>
  <c r="S23" i="16"/>
  <c r="S92" i="5" l="1"/>
  <c r="R92" i="5"/>
  <c r="C127" i="5"/>
  <c r="B127" i="5"/>
  <c r="S127" i="5"/>
  <c r="R127" i="5"/>
  <c r="K91" i="5"/>
  <c r="J91" i="5"/>
  <c r="K126" i="5"/>
  <c r="J126" i="5"/>
  <c r="C96" i="5"/>
  <c r="B96" i="5"/>
  <c r="C62" i="5"/>
  <c r="B62" i="5"/>
  <c r="K61" i="5"/>
  <c r="J61" i="5"/>
  <c r="S61" i="5"/>
  <c r="R61" i="5"/>
  <c r="Q23" i="5"/>
  <c r="S22" i="5"/>
  <c r="R22" i="5"/>
  <c r="I22" i="5"/>
  <c r="K21" i="5"/>
  <c r="J21" i="5"/>
  <c r="A22" i="5"/>
  <c r="C21" i="5"/>
  <c r="B21" i="5"/>
  <c r="B23" i="17"/>
  <c r="K127" i="5" l="1"/>
  <c r="J127" i="5"/>
  <c r="K92" i="5"/>
  <c r="J92" i="5"/>
  <c r="C128" i="5"/>
  <c r="B128" i="5"/>
  <c r="S93" i="5"/>
  <c r="R93" i="5"/>
  <c r="S128" i="5"/>
  <c r="R128" i="5"/>
  <c r="C97" i="5"/>
  <c r="B97" i="5"/>
  <c r="K62" i="5"/>
  <c r="J62" i="5"/>
  <c r="S62" i="5"/>
  <c r="R62" i="5"/>
  <c r="C63" i="5"/>
  <c r="B63" i="5"/>
  <c r="R23" i="5"/>
  <c r="Q24" i="5"/>
  <c r="S23" i="5"/>
  <c r="A23" i="5"/>
  <c r="B22" i="5"/>
  <c r="C22" i="5"/>
  <c r="J22" i="5"/>
  <c r="I23" i="5"/>
  <c r="K22" i="5"/>
  <c r="S23" i="17"/>
  <c r="B129" i="5" l="1"/>
  <c r="C129" i="5"/>
  <c r="R129" i="5"/>
  <c r="S129" i="5"/>
  <c r="K93" i="5"/>
  <c r="J93" i="5"/>
  <c r="S94" i="5"/>
  <c r="R94" i="5"/>
  <c r="K128" i="5"/>
  <c r="J128" i="5"/>
  <c r="C98" i="5"/>
  <c r="B98" i="5"/>
  <c r="S63" i="5"/>
  <c r="R63" i="5"/>
  <c r="K63" i="5"/>
  <c r="J63" i="5"/>
  <c r="C64" i="5"/>
  <c r="B64" i="5"/>
  <c r="R24" i="5"/>
  <c r="S24" i="5"/>
  <c r="Q25" i="5"/>
  <c r="I24" i="5"/>
  <c r="K23" i="5"/>
  <c r="J23" i="5"/>
  <c r="A24" i="5"/>
  <c r="B23" i="5"/>
  <c r="C23" i="5"/>
  <c r="B23" i="18"/>
  <c r="K129" i="5" l="1"/>
  <c r="J129" i="5"/>
  <c r="S130" i="5"/>
  <c r="R130" i="5"/>
  <c r="S95" i="5"/>
  <c r="R95" i="5"/>
  <c r="C130" i="5"/>
  <c r="B130" i="5"/>
  <c r="J94" i="5"/>
  <c r="K94" i="5"/>
  <c r="C99" i="5"/>
  <c r="B99" i="5"/>
  <c r="C65" i="5"/>
  <c r="B65" i="5"/>
  <c r="S64" i="5"/>
  <c r="R64" i="5"/>
  <c r="K64" i="5"/>
  <c r="J64" i="5"/>
  <c r="S25" i="5"/>
  <c r="R25" i="5"/>
  <c r="Q26" i="5"/>
  <c r="A25" i="5"/>
  <c r="C24" i="5"/>
  <c r="B24" i="5"/>
  <c r="J24" i="5"/>
  <c r="I25" i="5"/>
  <c r="K24" i="5"/>
  <c r="S23" i="18"/>
  <c r="S131" i="5" l="1"/>
  <c r="R131" i="5"/>
  <c r="K95" i="5"/>
  <c r="J95" i="5"/>
  <c r="S96" i="5"/>
  <c r="R96" i="5"/>
  <c r="C131" i="5"/>
  <c r="B131" i="5"/>
  <c r="K130" i="5"/>
  <c r="J130" i="5"/>
  <c r="C100" i="5"/>
  <c r="B100" i="5"/>
  <c r="S65" i="5"/>
  <c r="R65" i="5"/>
  <c r="C66" i="5"/>
  <c r="B66" i="5"/>
  <c r="K65" i="5"/>
  <c r="J65" i="5"/>
  <c r="Q27" i="5"/>
  <c r="S26" i="5"/>
  <c r="R26" i="5"/>
  <c r="I26" i="5"/>
  <c r="K25" i="5"/>
  <c r="J25" i="5"/>
  <c r="A26" i="5"/>
  <c r="C25" i="5"/>
  <c r="B25" i="5"/>
  <c r="B23" i="19"/>
  <c r="K131" i="5" l="1"/>
  <c r="J131" i="5"/>
  <c r="C132" i="5"/>
  <c r="B132" i="5"/>
  <c r="K96" i="5"/>
  <c r="J96" i="5"/>
  <c r="S132" i="5"/>
  <c r="R132" i="5"/>
  <c r="R97" i="5"/>
  <c r="S97" i="5"/>
  <c r="C101" i="5"/>
  <c r="B101" i="5"/>
  <c r="K66" i="5"/>
  <c r="J66" i="5"/>
  <c r="S66" i="5"/>
  <c r="R66" i="5"/>
  <c r="C67" i="5"/>
  <c r="B67" i="5"/>
  <c r="S27" i="5"/>
  <c r="R27" i="5"/>
  <c r="Q28" i="5"/>
  <c r="A27" i="5"/>
  <c r="B26" i="5"/>
  <c r="C26" i="5"/>
  <c r="J26" i="5"/>
  <c r="I27" i="5"/>
  <c r="K26" i="5"/>
  <c r="S23" i="19"/>
  <c r="J97" i="5" l="1"/>
  <c r="K97" i="5"/>
  <c r="S98" i="5"/>
  <c r="R98" i="5"/>
  <c r="B133" i="5"/>
  <c r="C133" i="5"/>
  <c r="R133" i="5"/>
  <c r="S133" i="5"/>
  <c r="J132" i="5"/>
  <c r="K132" i="5"/>
  <c r="C102" i="5"/>
  <c r="B102" i="5"/>
  <c r="S67" i="5"/>
  <c r="R67" i="5"/>
  <c r="K67" i="5"/>
  <c r="J67" i="5"/>
  <c r="C68" i="5"/>
  <c r="B68" i="5"/>
  <c r="S28" i="5"/>
  <c r="R28" i="5"/>
  <c r="Q29" i="5"/>
  <c r="I28" i="5"/>
  <c r="K27" i="5"/>
  <c r="J27" i="5"/>
  <c r="A28" i="5"/>
  <c r="C27" i="5"/>
  <c r="B27" i="5"/>
  <c r="B23" i="20"/>
  <c r="G38" i="5" l="1"/>
  <c r="G39" i="5"/>
  <c r="G40" i="5"/>
  <c r="G37" i="5"/>
  <c r="G42" i="5"/>
  <c r="G41" i="5"/>
  <c r="J133" i="5"/>
  <c r="K133" i="5"/>
  <c r="C134" i="5"/>
  <c r="B134" i="5"/>
  <c r="R99" i="5"/>
  <c r="S99" i="5"/>
  <c r="S134" i="5"/>
  <c r="R134" i="5"/>
  <c r="K98" i="5"/>
  <c r="J98" i="5"/>
  <c r="C103" i="5"/>
  <c r="B103" i="5"/>
  <c r="K68" i="5"/>
  <c r="J68" i="5"/>
  <c r="L69" i="5"/>
  <c r="T69" i="5"/>
  <c r="S68" i="5"/>
  <c r="R68" i="5"/>
  <c r="Q30" i="5"/>
  <c r="S29" i="5"/>
  <c r="R29" i="5"/>
  <c r="A29" i="5"/>
  <c r="C28" i="5"/>
  <c r="B28" i="5"/>
  <c r="J28" i="5"/>
  <c r="I29" i="5"/>
  <c r="K28" i="5"/>
  <c r="S23" i="20"/>
  <c r="O40" i="5" l="1"/>
  <c r="O42" i="5"/>
  <c r="O38" i="5"/>
  <c r="O39" i="5"/>
  <c r="O41" i="5"/>
  <c r="O37" i="5"/>
  <c r="G76" i="5"/>
  <c r="G75" i="5"/>
  <c r="G74" i="5"/>
  <c r="G73" i="5"/>
  <c r="G72" i="5"/>
  <c r="G77" i="5"/>
  <c r="W41" i="5"/>
  <c r="W37" i="5"/>
  <c r="W40" i="5"/>
  <c r="W39" i="5"/>
  <c r="W42" i="5"/>
  <c r="W38" i="5"/>
  <c r="K99" i="5"/>
  <c r="J99" i="5"/>
  <c r="S100" i="5"/>
  <c r="R100" i="5"/>
  <c r="C135" i="5"/>
  <c r="B135" i="5"/>
  <c r="S135" i="5"/>
  <c r="R135" i="5"/>
  <c r="K134" i="5"/>
  <c r="J134" i="5"/>
  <c r="R30" i="5"/>
  <c r="Q31" i="5"/>
  <c r="T31" i="5" s="1"/>
  <c r="S30" i="5"/>
  <c r="I30" i="5"/>
  <c r="J29" i="5"/>
  <c r="K29" i="5"/>
  <c r="A30" i="5"/>
  <c r="C29" i="5"/>
  <c r="B29" i="5"/>
  <c r="B23" i="21"/>
  <c r="C136" i="5" l="1"/>
  <c r="B136" i="5"/>
  <c r="R136" i="5"/>
  <c r="S136" i="5"/>
  <c r="R101" i="5"/>
  <c r="S101" i="5"/>
  <c r="K135" i="5"/>
  <c r="J135" i="5"/>
  <c r="K100" i="5"/>
  <c r="J100" i="5"/>
  <c r="Q32" i="5"/>
  <c r="T32" i="5" s="1"/>
  <c r="S31" i="5"/>
  <c r="R31" i="5"/>
  <c r="A31" i="5"/>
  <c r="B30" i="5"/>
  <c r="C30" i="5"/>
  <c r="J30" i="5"/>
  <c r="I31" i="5"/>
  <c r="L31" i="5" s="1"/>
  <c r="K30" i="5"/>
  <c r="S23" i="21"/>
  <c r="J101" i="5" l="1"/>
  <c r="K101" i="5"/>
  <c r="R137" i="5"/>
  <c r="S137" i="5"/>
  <c r="K136" i="5"/>
  <c r="J136" i="5"/>
  <c r="S102" i="5"/>
  <c r="R102" i="5"/>
  <c r="C137" i="5"/>
  <c r="B137" i="5"/>
  <c r="Q33" i="5"/>
  <c r="T33" i="5" s="1"/>
  <c r="T34" i="5" s="1"/>
  <c r="S32" i="5"/>
  <c r="R32" i="5"/>
  <c r="I32" i="5"/>
  <c r="L32" i="5" s="1"/>
  <c r="J31" i="5"/>
  <c r="K31" i="5"/>
  <c r="A32" i="5"/>
  <c r="C31" i="5"/>
  <c r="B31" i="5"/>
  <c r="B23" i="22"/>
  <c r="S103" i="5" l="1"/>
  <c r="T103" i="5"/>
  <c r="T104" i="5" s="1"/>
  <c r="R103" i="5"/>
  <c r="R138" i="5"/>
  <c r="T139" i="5"/>
  <c r="S138" i="5"/>
  <c r="J137" i="5"/>
  <c r="K137" i="5"/>
  <c r="J102" i="5"/>
  <c r="K102" i="5"/>
  <c r="C138" i="5"/>
  <c r="B138" i="5"/>
  <c r="R33" i="5"/>
  <c r="S33" i="5"/>
  <c r="W7" i="5" s="1"/>
  <c r="C32" i="5"/>
  <c r="B32" i="5"/>
  <c r="A33" i="5"/>
  <c r="J32" i="5"/>
  <c r="I33" i="5"/>
  <c r="K32" i="5"/>
  <c r="S23" i="22"/>
  <c r="W112" i="5" l="1"/>
  <c r="W109" i="5"/>
  <c r="W111" i="5"/>
  <c r="W110" i="5"/>
  <c r="W108" i="5"/>
  <c r="W107" i="5"/>
  <c r="W113" i="5"/>
  <c r="G107" i="5"/>
  <c r="G111" i="5"/>
  <c r="G112" i="5"/>
  <c r="G110" i="5"/>
  <c r="G109" i="5"/>
  <c r="G108" i="5"/>
  <c r="W74" i="5"/>
  <c r="W76" i="5"/>
  <c r="W77" i="5"/>
  <c r="W75" i="5"/>
  <c r="W72" i="5"/>
  <c r="W73" i="5"/>
  <c r="K138" i="5"/>
  <c r="L139" i="5"/>
  <c r="J138" i="5"/>
  <c r="L33" i="5"/>
  <c r="L34" i="5" s="1"/>
  <c r="L104" i="5"/>
  <c r="K103" i="5"/>
  <c r="J103" i="5"/>
  <c r="W6" i="5"/>
  <c r="W5" i="5"/>
  <c r="W4" i="5"/>
  <c r="W2" i="5"/>
  <c r="W3" i="5"/>
  <c r="K33" i="5"/>
  <c r="O7" i="5" s="1"/>
  <c r="J33" i="5"/>
  <c r="C33" i="5"/>
  <c r="B33" i="5"/>
  <c r="B23" i="23"/>
  <c r="W115" i="5" l="1"/>
  <c r="O73" i="5"/>
  <c r="O72" i="5"/>
  <c r="O74" i="5"/>
  <c r="O77" i="5"/>
  <c r="O75" i="5"/>
  <c r="O76" i="5"/>
  <c r="W9" i="5"/>
  <c r="G7" i="5"/>
  <c r="W44" i="5"/>
  <c r="G44" i="5"/>
  <c r="O6" i="5"/>
  <c r="O2" i="5"/>
  <c r="O5" i="5"/>
  <c r="O4" i="5"/>
  <c r="O3" i="5"/>
  <c r="G5" i="5"/>
  <c r="G2" i="5"/>
  <c r="G4" i="5"/>
  <c r="G6" i="5"/>
  <c r="G3" i="5"/>
  <c r="S23" i="23"/>
  <c r="W79" i="5" l="1"/>
  <c r="G79" i="5"/>
  <c r="O79" i="5"/>
  <c r="G114" i="5"/>
  <c r="O44" i="5"/>
  <c r="O114" i="5"/>
  <c r="O9" i="5"/>
  <c r="G9" i="5"/>
  <c r="B23" i="24"/>
  <c r="S23" i="24" l="1"/>
  <c r="B23" i="25" l="1"/>
  <c r="S23" i="25" l="1"/>
  <c r="B23" i="26" l="1"/>
  <c r="S23" i="26" l="1"/>
  <c r="B23" i="27" l="1"/>
  <c r="S23" i="27" l="1"/>
  <c r="B23" i="28" l="1"/>
  <c r="S23" i="28" l="1"/>
  <c r="B23" i="29" l="1"/>
  <c r="S23" i="29" l="1"/>
  <c r="B23" i="30" l="1"/>
  <c r="S23" i="30" l="1"/>
  <c r="B23" i="31" l="1"/>
  <c r="S23" i="31" l="1"/>
  <c r="B23" i="32" l="1"/>
  <c r="S23" i="32" l="1"/>
  <c r="B23" i="33" l="1"/>
  <c r="S23" i="33" l="1"/>
  <c r="B23" i="34" l="1"/>
  <c r="S23" i="34" l="1"/>
  <c r="B23" i="35" l="1"/>
  <c r="S23" i="35" l="1"/>
  <c r="B23" i="36" l="1"/>
  <c r="S23" i="36" l="1"/>
  <c r="B23" i="37" l="1"/>
  <c r="S23" i="37" l="1"/>
  <c r="B23" i="38" l="1"/>
  <c r="S23" i="38" l="1"/>
  <c r="B23" i="39" l="1"/>
  <c r="S23" i="39" l="1"/>
  <c r="B23" i="40" l="1"/>
  <c r="S23" i="40" l="1"/>
  <c r="B23" i="41" l="1"/>
  <c r="S23" i="41" l="1"/>
  <c r="B23" i="42" l="1"/>
  <c r="S23" i="42" l="1"/>
  <c r="B23" i="43" l="1"/>
  <c r="S23" i="43" l="1"/>
  <c r="B23" i="44" l="1"/>
  <c r="S23" i="44" l="1"/>
  <c r="B23" i="45" l="1"/>
  <c r="S23" i="45" l="1"/>
  <c r="B23" i="46" l="1"/>
  <c r="S23" i="46" l="1"/>
  <c r="B23" i="47" l="1"/>
  <c r="S23" i="47" l="1"/>
  <c r="B23" i="48" l="1"/>
  <c r="S23" i="48" l="1"/>
  <c r="B23" i="49" l="1"/>
  <c r="S23" i="49" l="1"/>
  <c r="B23" i="50" l="1"/>
  <c r="S23" i="50" l="1"/>
  <c r="B23" i="51" l="1"/>
  <c r="S23" i="51" l="1"/>
  <c r="B23" i="52" l="1"/>
  <c r="S23" i="52" l="1"/>
  <c r="B23" i="53" l="1"/>
  <c r="S23" i="53" l="1"/>
  <c r="B23" i="54" l="1"/>
  <c r="S23" i="54" l="1"/>
  <c r="B23" i="55" l="1"/>
  <c r="S23" i="55" l="1"/>
  <c r="B23" i="56" l="1"/>
  <c r="S23" i="56" l="1"/>
  <c r="B23" i="57" l="1"/>
  <c r="S23" i="57" l="1"/>
  <c r="S28" i="4" l="1"/>
  <c r="B28" i="6" s="1"/>
  <c r="S28" i="6" s="1"/>
  <c r="B28" i="7" s="1"/>
  <c r="S28" i="7" s="1"/>
  <c r="B28" i="8" s="1"/>
  <c r="S28" i="8" s="1"/>
  <c r="B28" i="9" s="1"/>
  <c r="S28" i="9" s="1"/>
  <c r="B28" i="10" s="1"/>
  <c r="S28" i="10" s="1"/>
  <c r="B28" i="11" s="1"/>
  <c r="S28" i="11" s="1"/>
  <c r="B28" i="12" s="1"/>
  <c r="S28" i="12" s="1"/>
  <c r="B28" i="13" s="1"/>
  <c r="S28" i="13" s="1"/>
  <c r="B28" i="14" s="1"/>
  <c r="S28" i="14" s="1"/>
  <c r="B28" i="15" s="1"/>
  <c r="S28" i="15" s="1"/>
  <c r="B28" i="16" s="1"/>
  <c r="S28" i="16" s="1"/>
  <c r="B28" i="17" s="1"/>
  <c r="S28" i="17" s="1"/>
  <c r="B28" i="18" s="1"/>
  <c r="S28" i="18" s="1"/>
  <c r="B28" i="19" s="1"/>
  <c r="S28" i="19" s="1"/>
  <c r="B28" i="20" s="1"/>
  <c r="S28" i="20" s="1"/>
  <c r="B28" i="21" s="1"/>
  <c r="S28" i="21" s="1"/>
  <c r="B28" i="22" s="1"/>
  <c r="S28" i="22" s="1"/>
  <c r="B28" i="23" s="1"/>
  <c r="S28" i="23" s="1"/>
  <c r="B28" i="24" s="1"/>
  <c r="S28" i="24" s="1"/>
  <c r="B28" i="25" s="1"/>
  <c r="S28" i="25" s="1"/>
  <c r="B28" i="26" s="1"/>
  <c r="S28" i="26" s="1"/>
  <c r="B28" i="27" s="1"/>
  <c r="S28" i="27" s="1"/>
  <c r="B28" i="28" s="1"/>
  <c r="S28" i="28" s="1"/>
  <c r="B28" i="29" s="1"/>
  <c r="S28" i="29" s="1"/>
  <c r="B28" i="30" s="1"/>
  <c r="S28" i="30" s="1"/>
  <c r="B28" i="31" s="1"/>
  <c r="S28" i="31" s="1"/>
  <c r="B28" i="32" s="1"/>
  <c r="S28" i="32" s="1"/>
  <c r="B28" i="33" s="1"/>
  <c r="S28" i="33" s="1"/>
  <c r="B28" i="34" s="1"/>
  <c r="S28" i="34" s="1"/>
  <c r="B28" i="35" s="1"/>
  <c r="S28" i="35" s="1"/>
  <c r="B28" i="36" s="1"/>
  <c r="S28" i="36" s="1"/>
  <c r="B28" i="37" s="1"/>
  <c r="S28" i="37" s="1"/>
  <c r="B28" i="38" s="1"/>
  <c r="S28" i="38" s="1"/>
  <c r="B28" i="39" s="1"/>
  <c r="S28" i="39" s="1"/>
  <c r="B28" i="40" s="1"/>
  <c r="S28" i="40" s="1"/>
  <c r="B28" i="41" s="1"/>
  <c r="S28" i="41" s="1"/>
  <c r="B28" i="42" s="1"/>
  <c r="S28" i="42" s="1"/>
  <c r="B28" i="43" s="1"/>
  <c r="S28" i="43" s="1"/>
  <c r="B28" i="44" s="1"/>
  <c r="S28" i="44" s="1"/>
  <c r="B28" i="45" s="1"/>
  <c r="S28" i="45" s="1"/>
  <c r="B28" i="46" s="1"/>
  <c r="S28" i="46" s="1"/>
  <c r="B28" i="47" s="1"/>
  <c r="S28" i="47" s="1"/>
  <c r="B28" i="48" s="1"/>
  <c r="S28" i="48" s="1"/>
  <c r="B28" i="49" s="1"/>
  <c r="S28" i="49" s="1"/>
  <c r="B28" i="50" s="1"/>
  <c r="S28" i="50" s="1"/>
  <c r="B28" i="51" s="1"/>
  <c r="S28" i="51" s="1"/>
  <c r="B28" i="52" s="1"/>
  <c r="S28" i="52" s="1"/>
  <c r="B28" i="53" s="1"/>
  <c r="S28" i="53" s="1"/>
  <c r="B28" i="54" s="1"/>
  <c r="S28" i="54" s="1"/>
  <c r="B28" i="55" s="1"/>
  <c r="S28" i="55" s="1"/>
  <c r="B28" i="56" s="1"/>
  <c r="S28" i="56" s="1"/>
  <c r="B28" i="57" s="1"/>
  <c r="S28" i="57" s="1"/>
  <c r="S11" i="4"/>
  <c r="B11" i="6" s="1"/>
  <c r="S11" i="6" s="1"/>
  <c r="B11" i="7" s="1"/>
  <c r="S11" i="7" s="1"/>
  <c r="B11" i="8" s="1"/>
  <c r="S11" i="8" s="1"/>
  <c r="B11" i="9" s="1"/>
  <c r="S11" i="9" s="1"/>
  <c r="B11" i="10" s="1"/>
  <c r="S11" i="10" s="1"/>
  <c r="B11" i="11" s="1"/>
  <c r="S11" i="11" s="1"/>
  <c r="B11" i="12" s="1"/>
  <c r="S11" i="12" s="1"/>
  <c r="B11" i="13" s="1"/>
  <c r="S11" i="13" s="1"/>
  <c r="B11" i="14" s="1"/>
  <c r="S11" i="14" s="1"/>
  <c r="B11" i="15" s="1"/>
  <c r="S11" i="15" s="1"/>
  <c r="B11" i="16" s="1"/>
  <c r="S11" i="16" s="1"/>
  <c r="B11" i="17" s="1"/>
  <c r="S11" i="17" s="1"/>
  <c r="B11" i="18" s="1"/>
  <c r="S11" i="18" s="1"/>
  <c r="B11" i="19" s="1"/>
  <c r="S11" i="19" s="1"/>
  <c r="B11" i="20" s="1"/>
  <c r="S11" i="20" s="1"/>
  <c r="B11" i="21" s="1"/>
  <c r="S11" i="21" s="1"/>
  <c r="B11" i="22" s="1"/>
  <c r="S11" i="22" s="1"/>
  <c r="B11" i="23" s="1"/>
  <c r="S11" i="23" s="1"/>
  <c r="B11" i="24" s="1"/>
  <c r="S11" i="24" s="1"/>
  <c r="B11" i="25" s="1"/>
  <c r="S11" i="25" s="1"/>
  <c r="B11" i="26" s="1"/>
  <c r="S11" i="26" s="1"/>
  <c r="B11" i="27" s="1"/>
  <c r="S11" i="27" s="1"/>
  <c r="B11" i="28" s="1"/>
  <c r="S11" i="28" s="1"/>
  <c r="B11" i="29" s="1"/>
  <c r="S11" i="29" s="1"/>
  <c r="B11" i="30" s="1"/>
  <c r="S11" i="30" s="1"/>
  <c r="B11" i="31" s="1"/>
  <c r="S11" i="31" s="1"/>
  <c r="B11" i="32" s="1"/>
  <c r="S11" i="32" s="1"/>
  <c r="B11" i="33" s="1"/>
  <c r="S11" i="33" s="1"/>
  <c r="B11" i="34" s="1"/>
  <c r="S11" i="34" s="1"/>
  <c r="B11" i="35" s="1"/>
  <c r="S11" i="35" s="1"/>
  <c r="B11" i="36" s="1"/>
  <c r="S11" i="36" s="1"/>
  <c r="B11" i="37" s="1"/>
  <c r="S11" i="37" s="1"/>
  <c r="B11" i="38" s="1"/>
  <c r="S11" i="38" s="1"/>
  <c r="B11" i="39" s="1"/>
  <c r="S11" i="39" s="1"/>
  <c r="B11" i="40" s="1"/>
  <c r="S11" i="40" s="1"/>
  <c r="B11" i="41" s="1"/>
  <c r="S11" i="41" s="1"/>
  <c r="B11" i="42" s="1"/>
  <c r="S11" i="42" s="1"/>
  <c r="B11" i="43" s="1"/>
  <c r="S11" i="43" s="1"/>
  <c r="B11" i="44" s="1"/>
  <c r="S11" i="44" s="1"/>
  <c r="B11" i="45" s="1"/>
  <c r="S11" i="45" s="1"/>
  <c r="B11" i="46" s="1"/>
  <c r="S11" i="46" s="1"/>
  <c r="B11" i="47" s="1"/>
  <c r="S11" i="47" s="1"/>
  <c r="B11" i="48" s="1"/>
  <c r="S11" i="48" s="1"/>
  <c r="B11" i="49" s="1"/>
  <c r="S11" i="49" s="1"/>
  <c r="B11" i="50" s="1"/>
  <c r="S11" i="50" s="1"/>
  <c r="B11" i="51" s="1"/>
  <c r="S11" i="51" s="1"/>
  <c r="B11" i="52" s="1"/>
  <c r="S11" i="52" s="1"/>
  <c r="B11" i="53" s="1"/>
  <c r="S11" i="53" s="1"/>
  <c r="B11" i="54" s="1"/>
  <c r="S11" i="54" s="1"/>
  <c r="B11" i="55" s="1"/>
  <c r="S11" i="55" s="1"/>
  <c r="B11" i="56" s="1"/>
  <c r="S11" i="56" s="1"/>
  <c r="B11" i="57" s="1"/>
  <c r="S11" i="57" s="1"/>
  <c r="S30" i="4"/>
  <c r="B30" i="6" s="1"/>
  <c r="S30" i="6" s="1"/>
  <c r="B30" i="7" s="1"/>
  <c r="S30" i="7" s="1"/>
  <c r="B30" i="8" s="1"/>
  <c r="S30" i="8" s="1"/>
  <c r="B30" i="9" s="1"/>
  <c r="S30" i="9" s="1"/>
  <c r="B30" i="10" s="1"/>
  <c r="S30" i="10" s="1"/>
  <c r="B30" i="11" s="1"/>
  <c r="S30" i="11" s="1"/>
  <c r="B30" i="12" s="1"/>
  <c r="S30" i="12" s="1"/>
  <c r="B30" i="13" s="1"/>
  <c r="S30" i="13" s="1"/>
  <c r="B30" i="14" s="1"/>
  <c r="S30" i="14" s="1"/>
  <c r="B30" i="15" s="1"/>
  <c r="S30" i="15" s="1"/>
  <c r="B30" i="16" s="1"/>
  <c r="S30" i="16" s="1"/>
  <c r="B30" i="17" s="1"/>
  <c r="S30" i="17" s="1"/>
  <c r="B30" i="18" s="1"/>
  <c r="S30" i="18" s="1"/>
  <c r="B30" i="19" s="1"/>
  <c r="S30" i="19" s="1"/>
  <c r="B30" i="20" s="1"/>
  <c r="S30" i="20" s="1"/>
  <c r="B30" i="21" s="1"/>
  <c r="S30" i="21" s="1"/>
  <c r="B30" i="22" s="1"/>
  <c r="S30" i="22" s="1"/>
  <c r="B30" i="23" s="1"/>
  <c r="S30" i="23" s="1"/>
  <c r="B30" i="24" s="1"/>
  <c r="S30" i="24" s="1"/>
  <c r="B30" i="25" s="1"/>
  <c r="S30" i="25" s="1"/>
  <c r="B30" i="26" s="1"/>
  <c r="S30" i="26" s="1"/>
  <c r="B30" i="27" s="1"/>
  <c r="S30" i="27" s="1"/>
  <c r="B30" i="28" s="1"/>
  <c r="S30" i="28" s="1"/>
  <c r="B30" i="29" s="1"/>
  <c r="S30" i="29" s="1"/>
  <c r="B30" i="30" s="1"/>
  <c r="S30" i="30" s="1"/>
  <c r="B30" i="31" s="1"/>
  <c r="S30" i="31" s="1"/>
  <c r="B30" i="32" s="1"/>
  <c r="S30" i="32" s="1"/>
  <c r="B30" i="33" s="1"/>
  <c r="S30" i="33" s="1"/>
  <c r="B30" i="34" s="1"/>
  <c r="S30" i="34" s="1"/>
  <c r="B30" i="35" s="1"/>
  <c r="S30" i="35" s="1"/>
  <c r="B30" i="36" s="1"/>
  <c r="S30" i="36" s="1"/>
  <c r="B30" i="37" s="1"/>
  <c r="S30" i="37" s="1"/>
  <c r="B30" i="38" s="1"/>
  <c r="S30" i="38" s="1"/>
  <c r="B30" i="39" s="1"/>
  <c r="S30" i="39" s="1"/>
  <c r="B30" i="40" s="1"/>
  <c r="S30" i="40" s="1"/>
  <c r="B30" i="41" s="1"/>
  <c r="S30" i="41" s="1"/>
  <c r="B30" i="42" s="1"/>
  <c r="S30" i="42" s="1"/>
  <c r="B30" i="43" s="1"/>
  <c r="S30" i="43" s="1"/>
  <c r="B30" i="44" s="1"/>
  <c r="S30" i="44" s="1"/>
  <c r="B30" i="45" s="1"/>
  <c r="S30" i="45" s="1"/>
  <c r="B30" i="46" s="1"/>
  <c r="S30" i="46" s="1"/>
  <c r="B30" i="47" s="1"/>
  <c r="S30" i="47" s="1"/>
  <c r="B30" i="48" s="1"/>
  <c r="S30" i="48" s="1"/>
  <c r="B30" i="49" s="1"/>
  <c r="S30" i="49" s="1"/>
  <c r="B30" i="50" s="1"/>
  <c r="S30" i="50" s="1"/>
  <c r="B30" i="51" s="1"/>
  <c r="S30" i="51" s="1"/>
  <c r="B30" i="52" s="1"/>
  <c r="S30" i="52" s="1"/>
  <c r="B30" i="53" s="1"/>
  <c r="S30" i="53" s="1"/>
  <c r="B30" i="54" s="1"/>
  <c r="S30" i="54" s="1"/>
  <c r="B30" i="55" s="1"/>
  <c r="S30" i="55" s="1"/>
  <c r="B30" i="56" s="1"/>
  <c r="S30" i="56" s="1"/>
  <c r="B30" i="57" s="1"/>
  <c r="S30" i="57" s="1"/>
  <c r="S12" i="4"/>
  <c r="B12" i="6" s="1"/>
  <c r="S12" i="6" s="1"/>
  <c r="B12" i="7" s="1"/>
  <c r="S12" i="7" s="1"/>
  <c r="B12" i="8" s="1"/>
  <c r="S12" i="8" s="1"/>
  <c r="B12" i="9" s="1"/>
  <c r="S12" i="9" s="1"/>
  <c r="B12" i="10" s="1"/>
  <c r="S12" i="10" s="1"/>
  <c r="B12" i="11" s="1"/>
  <c r="S12" i="11" s="1"/>
  <c r="B12" i="12" s="1"/>
  <c r="S12" i="12" s="1"/>
  <c r="B12" i="13" s="1"/>
  <c r="S12" i="13" s="1"/>
  <c r="B12" i="14" s="1"/>
  <c r="S12" i="14" s="1"/>
  <c r="B12" i="15" s="1"/>
  <c r="S12" i="15" s="1"/>
  <c r="B12" i="16" s="1"/>
  <c r="S12" i="16" s="1"/>
  <c r="B12" i="17" s="1"/>
  <c r="S12" i="17" s="1"/>
  <c r="B12" i="18" s="1"/>
  <c r="S12" i="18" s="1"/>
  <c r="B12" i="19" s="1"/>
  <c r="S12" i="19" s="1"/>
  <c r="B12" i="20" s="1"/>
  <c r="S12" i="20" s="1"/>
  <c r="B12" i="21" s="1"/>
  <c r="S12" i="21" s="1"/>
  <c r="B12" i="22" s="1"/>
  <c r="S12" i="22" s="1"/>
  <c r="B12" i="23" s="1"/>
  <c r="S12" i="23" s="1"/>
  <c r="B12" i="24" s="1"/>
  <c r="S12" i="24" s="1"/>
  <c r="B12" i="25" s="1"/>
  <c r="S12" i="25" s="1"/>
  <c r="B12" i="26" s="1"/>
  <c r="S12" i="26" s="1"/>
  <c r="B12" i="27" s="1"/>
  <c r="S12" i="27" s="1"/>
  <c r="B12" i="28" s="1"/>
  <c r="S12" i="28" s="1"/>
  <c r="B12" i="29" s="1"/>
  <c r="S12" i="29" s="1"/>
  <c r="B12" i="30" s="1"/>
  <c r="S12" i="30" s="1"/>
  <c r="B12" i="31" s="1"/>
  <c r="S12" i="31" s="1"/>
  <c r="B12" i="32" s="1"/>
  <c r="S12" i="32" s="1"/>
  <c r="B12" i="33" s="1"/>
  <c r="S12" i="33" s="1"/>
  <c r="B12" i="34" s="1"/>
  <c r="S12" i="34" s="1"/>
  <c r="B12" i="35" s="1"/>
  <c r="S12" i="35" s="1"/>
  <c r="B12" i="36" s="1"/>
  <c r="S12" i="36" s="1"/>
  <c r="B12" i="37" s="1"/>
  <c r="S12" i="37" s="1"/>
  <c r="B12" i="38" s="1"/>
  <c r="S12" i="38" s="1"/>
  <c r="B12" i="39" s="1"/>
  <c r="S12" i="39" s="1"/>
  <c r="B12" i="40" s="1"/>
  <c r="S12" i="40" s="1"/>
  <c r="B12" i="41" s="1"/>
  <c r="S12" i="41" s="1"/>
  <c r="B12" i="42" s="1"/>
  <c r="S12" i="42" s="1"/>
  <c r="B12" i="43" s="1"/>
  <c r="S12" i="43" s="1"/>
  <c r="B12" i="44" s="1"/>
  <c r="S12" i="44" s="1"/>
  <c r="B12" i="45" s="1"/>
  <c r="S12" i="45" s="1"/>
  <c r="B12" i="46" s="1"/>
  <c r="S12" i="46" s="1"/>
  <c r="B12" i="47" s="1"/>
  <c r="S12" i="47" s="1"/>
  <c r="B12" i="48" s="1"/>
  <c r="S12" i="48" s="1"/>
  <c r="B12" i="49" s="1"/>
  <c r="S12" i="49" s="1"/>
  <c r="B12" i="50" s="1"/>
  <c r="S12" i="50" s="1"/>
  <c r="B12" i="51" s="1"/>
  <c r="S12" i="51" s="1"/>
  <c r="B12" i="52" s="1"/>
  <c r="S12" i="52" s="1"/>
  <c r="B12" i="53" s="1"/>
  <c r="S12" i="53" s="1"/>
  <c r="B12" i="54" s="1"/>
  <c r="S12" i="54" s="1"/>
  <c r="B12" i="55" s="1"/>
  <c r="S12" i="55" s="1"/>
  <c r="B12" i="56" s="1"/>
  <c r="S12" i="56" s="1"/>
  <c r="B12" i="57" s="1"/>
  <c r="S12" i="57" s="1"/>
  <c r="S14" i="4"/>
  <c r="B14" i="6" s="1"/>
  <c r="S14" i="6" s="1"/>
  <c r="B14" i="7" s="1"/>
  <c r="S14" i="7" s="1"/>
  <c r="B14" i="8" s="1"/>
  <c r="S14" i="8" s="1"/>
  <c r="B14" i="9" s="1"/>
  <c r="S14" i="9" s="1"/>
  <c r="B14" i="10" s="1"/>
  <c r="S14" i="10" s="1"/>
  <c r="B14" i="11" s="1"/>
  <c r="S14" i="11" s="1"/>
  <c r="B14" i="12" s="1"/>
  <c r="S14" i="12" s="1"/>
  <c r="B14" i="13" s="1"/>
  <c r="S14" i="13" s="1"/>
  <c r="B14" i="14" s="1"/>
  <c r="S14" i="14" s="1"/>
  <c r="B14" i="15" s="1"/>
  <c r="S14" i="15" s="1"/>
  <c r="B14" i="16" s="1"/>
  <c r="S14" i="16" s="1"/>
  <c r="B14" i="17" s="1"/>
  <c r="S14" i="17" s="1"/>
  <c r="B14" i="18" s="1"/>
  <c r="S14" i="18" s="1"/>
  <c r="B14" i="19" s="1"/>
  <c r="S14" i="19" s="1"/>
  <c r="B14" i="20" s="1"/>
  <c r="S14" i="20" s="1"/>
  <c r="B14" i="21" s="1"/>
  <c r="S14" i="21" s="1"/>
  <c r="B14" i="22" s="1"/>
  <c r="S14" i="22" s="1"/>
  <c r="B14" i="23" s="1"/>
  <c r="S14" i="23" s="1"/>
  <c r="B14" i="24" s="1"/>
  <c r="S14" i="24" s="1"/>
  <c r="B14" i="25" s="1"/>
  <c r="S14" i="25" s="1"/>
  <c r="B14" i="26" s="1"/>
  <c r="S14" i="26" s="1"/>
  <c r="B14" i="27" s="1"/>
  <c r="S14" i="27" s="1"/>
  <c r="B14" i="28" s="1"/>
  <c r="S14" i="28" s="1"/>
  <c r="B14" i="29" s="1"/>
  <c r="S14" i="29" s="1"/>
  <c r="B14" i="30" s="1"/>
  <c r="S14" i="30" s="1"/>
  <c r="B14" i="31" s="1"/>
  <c r="S14" i="31" s="1"/>
  <c r="B14" i="32" s="1"/>
  <c r="S14" i="32" s="1"/>
  <c r="B14" i="33" s="1"/>
  <c r="S14" i="33" s="1"/>
  <c r="B14" i="34" s="1"/>
  <c r="S14" i="34" s="1"/>
  <c r="B14" i="35" s="1"/>
  <c r="S14" i="35" s="1"/>
  <c r="B14" i="36" s="1"/>
  <c r="S14" i="36" s="1"/>
  <c r="B14" i="37" s="1"/>
  <c r="S14" i="37" s="1"/>
  <c r="B14" i="38" s="1"/>
  <c r="S14" i="38" s="1"/>
  <c r="B14" i="39" s="1"/>
  <c r="S14" i="39" s="1"/>
  <c r="B14" i="40" s="1"/>
  <c r="S14" i="40" s="1"/>
  <c r="B14" i="41" s="1"/>
  <c r="S14" i="41" s="1"/>
  <c r="B14" i="42" s="1"/>
  <c r="S14" i="42" s="1"/>
  <c r="B14" i="43" s="1"/>
  <c r="S14" i="43" s="1"/>
  <c r="B14" i="44" s="1"/>
  <c r="S14" i="44" s="1"/>
  <c r="B14" i="45" s="1"/>
  <c r="S14" i="45" s="1"/>
  <c r="B14" i="46" s="1"/>
  <c r="S14" i="46" s="1"/>
  <c r="B14" i="47" s="1"/>
  <c r="S14" i="47" s="1"/>
  <c r="B14" i="48" s="1"/>
  <c r="S14" i="48" s="1"/>
  <c r="B14" i="49" s="1"/>
  <c r="S14" i="49" s="1"/>
  <c r="B14" i="50" s="1"/>
  <c r="S14" i="50" s="1"/>
  <c r="B14" i="51" s="1"/>
  <c r="S14" i="51" s="1"/>
  <c r="B14" i="52" s="1"/>
  <c r="S14" i="52" s="1"/>
  <c r="B14" i="53" s="1"/>
  <c r="S14" i="53" s="1"/>
  <c r="B14" i="54" s="1"/>
  <c r="S14" i="54" s="1"/>
  <c r="B14" i="55" s="1"/>
  <c r="S14" i="55" s="1"/>
  <c r="B14" i="56" s="1"/>
  <c r="S14" i="56" s="1"/>
  <c r="B14" i="57" s="1"/>
  <c r="S14" i="57" s="1"/>
  <c r="S15" i="4"/>
  <c r="B15" i="6" s="1"/>
  <c r="S15" i="6" s="1"/>
  <c r="B15" i="7" s="1"/>
  <c r="S15" i="7" s="1"/>
  <c r="B15" i="8" s="1"/>
  <c r="S15" i="8" s="1"/>
  <c r="B15" i="9" s="1"/>
  <c r="S15" i="9" s="1"/>
  <c r="B15" i="10" s="1"/>
  <c r="S15" i="10" s="1"/>
  <c r="B15" i="11" s="1"/>
  <c r="S15" i="11" s="1"/>
  <c r="B15" i="12" s="1"/>
  <c r="S15" i="12" s="1"/>
  <c r="B15" i="13" s="1"/>
  <c r="S15" i="13" s="1"/>
  <c r="B15" i="14" s="1"/>
  <c r="S15" i="14" s="1"/>
  <c r="B15" i="15" s="1"/>
  <c r="S15" i="15" s="1"/>
  <c r="B15" i="16" s="1"/>
  <c r="S15" i="16" s="1"/>
  <c r="B15" i="17" s="1"/>
  <c r="S15" i="17" s="1"/>
  <c r="B15" i="18" s="1"/>
  <c r="S15" i="18" s="1"/>
  <c r="B15" i="19" s="1"/>
  <c r="S15" i="19" s="1"/>
  <c r="B15" i="20" s="1"/>
  <c r="S15" i="20" s="1"/>
  <c r="B15" i="21" s="1"/>
  <c r="S15" i="21" s="1"/>
  <c r="B15" i="22" s="1"/>
  <c r="S15" i="22" s="1"/>
  <c r="B15" i="23" s="1"/>
  <c r="S15" i="23" s="1"/>
  <c r="B15" i="24" s="1"/>
  <c r="S15" i="24" s="1"/>
  <c r="B15" i="25" s="1"/>
  <c r="S15" i="25" s="1"/>
  <c r="B15" i="26" s="1"/>
  <c r="S15" i="26" s="1"/>
  <c r="B15" i="27" s="1"/>
  <c r="S15" i="27" s="1"/>
  <c r="B15" i="28" s="1"/>
  <c r="S15" i="28" s="1"/>
  <c r="B15" i="29" s="1"/>
  <c r="S15" i="29" s="1"/>
  <c r="B15" i="30" s="1"/>
  <c r="S15" i="30" s="1"/>
  <c r="B15" i="31" s="1"/>
  <c r="S15" i="31" s="1"/>
  <c r="B15" i="32" s="1"/>
  <c r="S15" i="32" s="1"/>
  <c r="B15" i="33" s="1"/>
  <c r="S15" i="33" s="1"/>
  <c r="B15" i="34" s="1"/>
  <c r="S15" i="34" s="1"/>
  <c r="B15" i="35" s="1"/>
  <c r="S15" i="35" s="1"/>
  <c r="B15" i="36" s="1"/>
  <c r="S15" i="36" s="1"/>
  <c r="B15" i="37" s="1"/>
  <c r="S15" i="37" s="1"/>
  <c r="B15" i="38" s="1"/>
  <c r="S15" i="38" s="1"/>
  <c r="B15" i="39" s="1"/>
  <c r="S15" i="39" s="1"/>
  <c r="B15" i="40" s="1"/>
  <c r="S15" i="40" s="1"/>
  <c r="B15" i="41" s="1"/>
  <c r="S15" i="41" s="1"/>
  <c r="B15" i="42" s="1"/>
  <c r="S15" i="42" s="1"/>
  <c r="B15" i="43" s="1"/>
  <c r="S15" i="43" s="1"/>
  <c r="B15" i="44" s="1"/>
  <c r="S15" i="44" s="1"/>
  <c r="B15" i="45" s="1"/>
  <c r="S15" i="45" s="1"/>
  <c r="B15" i="46" s="1"/>
  <c r="S15" i="46" s="1"/>
  <c r="B15" i="47" s="1"/>
  <c r="S15" i="47" s="1"/>
  <c r="B15" i="48" s="1"/>
  <c r="S15" i="48" s="1"/>
  <c r="B15" i="49" s="1"/>
  <c r="S15" i="49" s="1"/>
  <c r="B15" i="50" s="1"/>
  <c r="S15" i="50" s="1"/>
  <c r="B15" i="51" s="1"/>
  <c r="S15" i="51" s="1"/>
  <c r="B15" i="52" s="1"/>
  <c r="S15" i="52" s="1"/>
  <c r="B15" i="53" s="1"/>
  <c r="S15" i="53" s="1"/>
  <c r="B15" i="54" s="1"/>
  <c r="S15" i="54" s="1"/>
  <c r="B15" i="55" s="1"/>
  <c r="S15" i="55" s="1"/>
  <c r="B15" i="56" s="1"/>
  <c r="S15" i="56" s="1"/>
  <c r="B15" i="57" s="1"/>
  <c r="S15" i="57" s="1"/>
  <c r="S17" i="4"/>
  <c r="B17" i="6" s="1"/>
  <c r="S17" i="6" s="1"/>
  <c r="B17" i="7" s="1"/>
  <c r="S17" i="7" s="1"/>
  <c r="B17" i="8" s="1"/>
  <c r="S17" i="8" s="1"/>
  <c r="B17" i="9" s="1"/>
  <c r="S17" i="9" s="1"/>
  <c r="B17" i="10" s="1"/>
  <c r="S17" i="10" s="1"/>
  <c r="B17" i="11" s="1"/>
  <c r="S17" i="11" s="1"/>
  <c r="B17" i="12" s="1"/>
  <c r="S17" i="12" s="1"/>
  <c r="B17" i="13" s="1"/>
  <c r="S17" i="13" s="1"/>
  <c r="B17" i="14" s="1"/>
  <c r="S17" i="14" s="1"/>
  <c r="B17" i="15" s="1"/>
  <c r="S17" i="15" s="1"/>
  <c r="B17" i="16" s="1"/>
  <c r="S17" i="16" s="1"/>
  <c r="B17" i="17" s="1"/>
  <c r="S17" i="17" s="1"/>
  <c r="B17" i="18" s="1"/>
  <c r="S17" i="18" s="1"/>
  <c r="B17" i="19" s="1"/>
  <c r="S17" i="19" s="1"/>
  <c r="B17" i="20" s="1"/>
  <c r="S17" i="20" s="1"/>
  <c r="B17" i="21" s="1"/>
  <c r="S17" i="21" s="1"/>
  <c r="B17" i="22" s="1"/>
  <c r="S17" i="22" s="1"/>
  <c r="B17" i="23" s="1"/>
  <c r="S17" i="23" s="1"/>
  <c r="B17" i="24" s="1"/>
  <c r="S17" i="24" s="1"/>
  <c r="B17" i="25" s="1"/>
  <c r="S17" i="25" s="1"/>
  <c r="B17" i="26" s="1"/>
  <c r="S17" i="26" s="1"/>
  <c r="B17" i="27" s="1"/>
  <c r="S17" i="27" s="1"/>
  <c r="B17" i="28" s="1"/>
  <c r="S17" i="28" s="1"/>
  <c r="B17" i="29" s="1"/>
  <c r="S17" i="29" s="1"/>
  <c r="B17" i="30" s="1"/>
  <c r="S17" i="30" s="1"/>
  <c r="B17" i="31" s="1"/>
  <c r="S17" i="31" s="1"/>
  <c r="B17" i="32" s="1"/>
  <c r="S17" i="32" s="1"/>
  <c r="B17" i="33" s="1"/>
  <c r="S17" i="33" s="1"/>
  <c r="B17" i="34" s="1"/>
  <c r="S17" i="34" s="1"/>
  <c r="B17" i="35" s="1"/>
  <c r="S17" i="35" s="1"/>
  <c r="B17" i="36" s="1"/>
  <c r="S17" i="36" s="1"/>
  <c r="B17" i="37" s="1"/>
  <c r="S17" i="37" s="1"/>
  <c r="B17" i="38" s="1"/>
  <c r="S17" i="38" s="1"/>
  <c r="B17" i="39" s="1"/>
  <c r="S17" i="39" s="1"/>
  <c r="B17" i="40" s="1"/>
  <c r="S17" i="40" s="1"/>
  <c r="B17" i="41" s="1"/>
  <c r="S17" i="41" s="1"/>
  <c r="B17" i="42" s="1"/>
  <c r="S17" i="42" s="1"/>
  <c r="B17" i="43" s="1"/>
  <c r="S17" i="43" s="1"/>
  <c r="B17" i="44" s="1"/>
  <c r="S17" i="44" s="1"/>
  <c r="B17" i="45" s="1"/>
  <c r="S17" i="45" s="1"/>
  <c r="B17" i="46" s="1"/>
  <c r="S17" i="46" s="1"/>
  <c r="B17" i="47" s="1"/>
  <c r="S17" i="47" s="1"/>
  <c r="B17" i="48" s="1"/>
  <c r="S17" i="48" s="1"/>
  <c r="B17" i="49" s="1"/>
  <c r="S17" i="49" s="1"/>
  <c r="B17" i="50" s="1"/>
  <c r="S17" i="50" s="1"/>
  <c r="B17" i="51" s="1"/>
  <c r="S17" i="51" s="1"/>
  <c r="B17" i="52" s="1"/>
  <c r="S17" i="52" s="1"/>
  <c r="B17" i="53" s="1"/>
  <c r="S17" i="53" s="1"/>
  <c r="B17" i="54" s="1"/>
  <c r="S17" i="54" s="1"/>
  <c r="B17" i="55" s="1"/>
  <c r="S17" i="55" s="1"/>
  <c r="B17" i="56" s="1"/>
  <c r="S17" i="56" s="1"/>
  <c r="B17" i="57" s="1"/>
  <c r="S17" i="57" s="1"/>
  <c r="S6" i="4"/>
  <c r="B6" i="6" s="1"/>
  <c r="S6" i="6" s="1"/>
  <c r="B6" i="7" s="1"/>
  <c r="S6" i="7" s="1"/>
  <c r="B6" i="8" s="1"/>
  <c r="S6" i="8" s="1"/>
  <c r="B6" i="9" s="1"/>
  <c r="S6" i="9" s="1"/>
  <c r="B6" i="10" s="1"/>
  <c r="S6" i="10" s="1"/>
  <c r="B6" i="11" s="1"/>
  <c r="S6" i="11" s="1"/>
  <c r="B6" i="12" s="1"/>
  <c r="S6" i="12" s="1"/>
  <c r="B6" i="13" s="1"/>
  <c r="S6" i="13" s="1"/>
  <c r="B6" i="14" s="1"/>
  <c r="S6" i="14" s="1"/>
  <c r="B6" i="15" s="1"/>
  <c r="S6" i="15" s="1"/>
  <c r="B6" i="16" s="1"/>
  <c r="S6" i="16" s="1"/>
  <c r="B6" i="17" s="1"/>
  <c r="S6" i="17" s="1"/>
  <c r="B6" i="18" s="1"/>
  <c r="S6" i="18" s="1"/>
  <c r="B6" i="19" s="1"/>
  <c r="S6" i="19" s="1"/>
  <c r="B6" i="20" s="1"/>
  <c r="S6" i="20" s="1"/>
  <c r="B6" i="21" s="1"/>
  <c r="S6" i="21" s="1"/>
  <c r="B6" i="22" s="1"/>
  <c r="S6" i="22" s="1"/>
  <c r="B6" i="23" s="1"/>
  <c r="S6" i="23" s="1"/>
  <c r="B6" i="24" s="1"/>
  <c r="S6" i="24" s="1"/>
  <c r="B6" i="25" s="1"/>
  <c r="S6" i="25" s="1"/>
  <c r="B6" i="26" s="1"/>
  <c r="S6" i="26" s="1"/>
  <c r="B6" i="27" s="1"/>
  <c r="S6" i="27" s="1"/>
  <c r="B6" i="28" s="1"/>
  <c r="S6" i="28" s="1"/>
  <c r="B6" i="29" s="1"/>
  <c r="S6" i="29" s="1"/>
  <c r="B6" i="30" s="1"/>
  <c r="S6" i="30" s="1"/>
  <c r="B6" i="31" s="1"/>
  <c r="S6" i="31" s="1"/>
  <c r="B6" i="32" s="1"/>
  <c r="S6" i="32" s="1"/>
  <c r="B6" i="33" s="1"/>
  <c r="S6" i="33" s="1"/>
  <c r="B6" i="34" s="1"/>
  <c r="S6" i="34" s="1"/>
  <c r="B6" i="35" s="1"/>
  <c r="S6" i="35" s="1"/>
  <c r="B6" i="36" s="1"/>
  <c r="S6" i="36" s="1"/>
  <c r="B6" i="37" s="1"/>
  <c r="S6" i="37" s="1"/>
  <c r="B6" i="38" s="1"/>
  <c r="S6" i="38" s="1"/>
  <c r="B6" i="39" s="1"/>
  <c r="S6" i="39" s="1"/>
  <c r="B6" i="40" s="1"/>
  <c r="S6" i="40" s="1"/>
  <c r="B6" i="41" s="1"/>
  <c r="S6" i="41" s="1"/>
  <c r="B6" i="42" s="1"/>
  <c r="S6" i="42" s="1"/>
  <c r="B6" i="43" s="1"/>
  <c r="S6" i="43" s="1"/>
  <c r="B6" i="44" s="1"/>
  <c r="S6" i="44" s="1"/>
  <c r="B6" i="45" s="1"/>
  <c r="S6" i="45" s="1"/>
  <c r="B6" i="46" s="1"/>
  <c r="S6" i="46" s="1"/>
  <c r="B6" i="47" s="1"/>
  <c r="S6" i="47" s="1"/>
  <c r="B6" i="48" s="1"/>
  <c r="S6" i="48" s="1"/>
  <c r="B6" i="49" s="1"/>
  <c r="S6" i="49" s="1"/>
  <c r="B6" i="50" s="1"/>
  <c r="S6" i="50" s="1"/>
  <c r="B6" i="51" s="1"/>
  <c r="S6" i="51" s="1"/>
  <c r="B6" i="52" s="1"/>
  <c r="S6" i="52" s="1"/>
  <c r="B6" i="53" s="1"/>
  <c r="S6" i="53" s="1"/>
  <c r="B6" i="54" s="1"/>
  <c r="S6" i="54" s="1"/>
  <c r="B6" i="55" s="1"/>
  <c r="S6" i="55" s="1"/>
  <c r="B6" i="56" s="1"/>
  <c r="S6" i="56" s="1"/>
  <c r="B6" i="57" s="1"/>
  <c r="S6" i="57" s="1"/>
  <c r="S24" i="4"/>
  <c r="B24" i="6" s="1"/>
  <c r="S24" i="6" s="1"/>
  <c r="B24" i="7" s="1"/>
  <c r="S24" i="7" s="1"/>
  <c r="B24" i="8" s="1"/>
  <c r="S24" i="8" s="1"/>
  <c r="B24" i="9" s="1"/>
  <c r="S24" i="9" s="1"/>
  <c r="B24" i="10" s="1"/>
  <c r="S24" i="10" s="1"/>
  <c r="B24" i="11" s="1"/>
  <c r="S24" i="11" s="1"/>
  <c r="B24" i="12" s="1"/>
  <c r="S24" i="12" s="1"/>
  <c r="B24" i="13" s="1"/>
  <c r="S24" i="13" s="1"/>
  <c r="B24" i="14" s="1"/>
  <c r="S24" i="14" s="1"/>
  <c r="B24" i="15" s="1"/>
  <c r="S24" i="15" s="1"/>
  <c r="B24" i="16" s="1"/>
  <c r="S24" i="16" s="1"/>
  <c r="B24" i="17" s="1"/>
  <c r="S24" i="17" s="1"/>
  <c r="B24" i="18" s="1"/>
  <c r="S24" i="18" s="1"/>
  <c r="B24" i="19" s="1"/>
  <c r="S24" i="19" s="1"/>
  <c r="B24" i="20" s="1"/>
  <c r="S24" i="20" s="1"/>
  <c r="B24" i="21" s="1"/>
  <c r="S24" i="21" s="1"/>
  <c r="B24" i="22" s="1"/>
  <c r="S24" i="22" s="1"/>
  <c r="B24" i="23" s="1"/>
  <c r="S24" i="23" s="1"/>
  <c r="B24" i="24" s="1"/>
  <c r="S24" i="24" s="1"/>
  <c r="B24" i="25" s="1"/>
  <c r="S24" i="25" s="1"/>
  <c r="B24" i="26" s="1"/>
  <c r="S24" i="26" s="1"/>
  <c r="B24" i="27" s="1"/>
  <c r="S24" i="27" s="1"/>
  <c r="B24" i="28" s="1"/>
  <c r="S24" i="28" s="1"/>
  <c r="B24" i="29" s="1"/>
  <c r="S24" i="29" s="1"/>
  <c r="B24" i="30" s="1"/>
  <c r="S24" i="30" s="1"/>
  <c r="B24" i="31" s="1"/>
  <c r="S24" i="31" s="1"/>
  <c r="B24" i="32" s="1"/>
  <c r="S24" i="32" s="1"/>
  <c r="B24" i="33" s="1"/>
  <c r="S24" i="33" s="1"/>
  <c r="B24" i="34" s="1"/>
  <c r="S24" i="34" s="1"/>
  <c r="B24" i="35" s="1"/>
  <c r="S24" i="35" s="1"/>
  <c r="B24" i="36" s="1"/>
  <c r="S24" i="36" s="1"/>
  <c r="B24" i="37" s="1"/>
  <c r="S24" i="37" s="1"/>
  <c r="B24" i="38" s="1"/>
  <c r="S24" i="38" s="1"/>
  <c r="B24" i="39" s="1"/>
  <c r="S24" i="39" s="1"/>
  <c r="B24" i="40" s="1"/>
  <c r="S24" i="40" s="1"/>
  <c r="B24" i="41" s="1"/>
  <c r="S24" i="41" s="1"/>
  <c r="B24" i="42" s="1"/>
  <c r="S24" i="42" s="1"/>
  <c r="B24" i="43" s="1"/>
  <c r="S24" i="43" s="1"/>
  <c r="B24" i="44" s="1"/>
  <c r="S24" i="44" s="1"/>
  <c r="B24" i="45" s="1"/>
  <c r="S24" i="45" s="1"/>
  <c r="B24" i="46" s="1"/>
  <c r="S24" i="46" s="1"/>
  <c r="B24" i="47" s="1"/>
  <c r="S24" i="47" s="1"/>
  <c r="B24" i="48" s="1"/>
  <c r="S24" i="48" s="1"/>
  <c r="B24" i="49" s="1"/>
  <c r="S24" i="49" s="1"/>
  <c r="B24" i="50" s="1"/>
  <c r="S24" i="50" s="1"/>
  <c r="B24" i="51" s="1"/>
  <c r="S24" i="51" s="1"/>
  <c r="B24" i="52" s="1"/>
  <c r="S24" i="52" s="1"/>
  <c r="B24" i="53" s="1"/>
  <c r="S24" i="53" s="1"/>
  <c r="B24" i="54" s="1"/>
  <c r="S24" i="54" s="1"/>
  <c r="B24" i="55" s="1"/>
  <c r="S24" i="55" s="1"/>
  <c r="B24" i="56" s="1"/>
  <c r="S24" i="56" s="1"/>
  <c r="B24" i="57" s="1"/>
  <c r="S24" i="57" s="1"/>
  <c r="S26" i="4"/>
  <c r="B26" i="6" s="1"/>
  <c r="S26" i="6" s="1"/>
  <c r="B26" i="7" s="1"/>
  <c r="S26" i="7" s="1"/>
  <c r="B26" i="8" s="1"/>
  <c r="S26" i="8" s="1"/>
  <c r="B26" i="9" s="1"/>
  <c r="S26" i="9" s="1"/>
  <c r="B26" i="10" s="1"/>
  <c r="S26" i="10" s="1"/>
  <c r="B26" i="11" s="1"/>
  <c r="S26" i="11" s="1"/>
  <c r="B26" i="12" s="1"/>
  <c r="S26" i="12" s="1"/>
  <c r="B26" i="13" s="1"/>
  <c r="S26" i="13" s="1"/>
  <c r="B26" i="14" s="1"/>
  <c r="S26" i="14" s="1"/>
  <c r="B26" i="15" s="1"/>
  <c r="S26" i="15" s="1"/>
  <c r="B26" i="16" s="1"/>
  <c r="S26" i="16" s="1"/>
  <c r="B26" i="17" s="1"/>
  <c r="S26" i="17" s="1"/>
  <c r="B26" i="18" s="1"/>
  <c r="S26" i="18" s="1"/>
  <c r="B26" i="19" s="1"/>
  <c r="S26" i="19" s="1"/>
  <c r="B26" i="20" s="1"/>
  <c r="S26" i="20" s="1"/>
  <c r="B26" i="21" s="1"/>
  <c r="S26" i="21" s="1"/>
  <c r="B26" i="22" s="1"/>
  <c r="S26" i="22" s="1"/>
  <c r="B26" i="23" s="1"/>
  <c r="S26" i="23" s="1"/>
  <c r="B26" i="24" s="1"/>
  <c r="S26" i="24" s="1"/>
  <c r="B26" i="25" s="1"/>
  <c r="S26" i="25" s="1"/>
  <c r="B26" i="26" s="1"/>
  <c r="S26" i="26" s="1"/>
  <c r="B26" i="27" s="1"/>
  <c r="S26" i="27" s="1"/>
  <c r="B26" i="28" s="1"/>
  <c r="S26" i="28" s="1"/>
  <c r="B26" i="29" s="1"/>
  <c r="S26" i="29" s="1"/>
  <c r="B26" i="30" s="1"/>
  <c r="S26" i="30" s="1"/>
  <c r="B26" i="31" s="1"/>
  <c r="S26" i="31" s="1"/>
  <c r="B26" i="32" s="1"/>
  <c r="S26" i="32" s="1"/>
  <c r="B26" i="33" s="1"/>
  <c r="S26" i="33" s="1"/>
  <c r="B26" i="34" s="1"/>
  <c r="S26" i="34" s="1"/>
  <c r="B26" i="35" s="1"/>
  <c r="S26" i="35" s="1"/>
  <c r="B26" i="36" s="1"/>
  <c r="S26" i="36" s="1"/>
  <c r="B26" i="37" s="1"/>
  <c r="S26" i="37" s="1"/>
  <c r="B26" i="38" s="1"/>
  <c r="S26" i="38" s="1"/>
  <c r="B26" i="39" s="1"/>
  <c r="S26" i="39" s="1"/>
  <c r="B26" i="40" s="1"/>
  <c r="S26" i="40" s="1"/>
  <c r="B26" i="41" s="1"/>
  <c r="S26" i="41" s="1"/>
  <c r="B26" i="42" s="1"/>
  <c r="S26" i="42" s="1"/>
  <c r="B26" i="43" s="1"/>
  <c r="S26" i="43" s="1"/>
  <c r="B26" i="44" s="1"/>
  <c r="S26" i="44" s="1"/>
  <c r="B26" i="45" s="1"/>
  <c r="S26" i="45" s="1"/>
  <c r="B26" i="46" s="1"/>
  <c r="S26" i="46" s="1"/>
  <c r="B26" i="47" s="1"/>
  <c r="S26" i="47" s="1"/>
  <c r="B26" i="48" s="1"/>
  <c r="S26" i="48" s="1"/>
  <c r="B26" i="49" s="1"/>
  <c r="S26" i="49" s="1"/>
  <c r="B26" i="50" s="1"/>
  <c r="S26" i="50" s="1"/>
  <c r="B26" i="51" s="1"/>
  <c r="S26" i="51" s="1"/>
  <c r="B26" i="52" s="1"/>
  <c r="S26" i="52" s="1"/>
  <c r="B26" i="53" s="1"/>
  <c r="S26" i="53" s="1"/>
  <c r="B26" i="54" s="1"/>
  <c r="S26" i="54" s="1"/>
  <c r="B26" i="55" s="1"/>
  <c r="S26" i="55" s="1"/>
  <c r="B26" i="56" s="1"/>
  <c r="S26" i="56" s="1"/>
  <c r="B26" i="57" s="1"/>
  <c r="S26" i="57" s="1"/>
  <c r="S9" i="4"/>
  <c r="B9" i="6" s="1"/>
  <c r="S9" i="6" s="1"/>
  <c r="B9" i="7" s="1"/>
  <c r="S9" i="7" s="1"/>
  <c r="B9" i="8" s="1"/>
  <c r="S9" i="8" s="1"/>
  <c r="B9" i="9" s="1"/>
  <c r="S9" i="9" s="1"/>
  <c r="B9" i="10" s="1"/>
  <c r="S9" i="10" s="1"/>
  <c r="B9" i="11" s="1"/>
  <c r="S9" i="11" s="1"/>
  <c r="B9" i="12" s="1"/>
  <c r="S9" i="12" s="1"/>
  <c r="B9" i="13" s="1"/>
  <c r="S9" i="13" s="1"/>
  <c r="B9" i="14" s="1"/>
  <c r="S9" i="14" s="1"/>
  <c r="B9" i="15" s="1"/>
  <c r="S9" i="15" s="1"/>
  <c r="B9" i="16" s="1"/>
  <c r="S9" i="16" s="1"/>
  <c r="B9" i="17" s="1"/>
  <c r="S9" i="17" s="1"/>
  <c r="B9" i="18" s="1"/>
  <c r="S9" i="18" s="1"/>
  <c r="B9" i="19" s="1"/>
  <c r="S9" i="19" s="1"/>
  <c r="B9" i="20" s="1"/>
  <c r="S9" i="20" s="1"/>
  <c r="B9" i="21" s="1"/>
  <c r="S9" i="21" s="1"/>
  <c r="B9" i="22" s="1"/>
  <c r="S9" i="22" s="1"/>
  <c r="B9" i="23" s="1"/>
  <c r="S9" i="23" s="1"/>
  <c r="B9" i="24" s="1"/>
  <c r="S9" i="24" s="1"/>
  <c r="B9" i="25" s="1"/>
  <c r="S9" i="25" s="1"/>
  <c r="B9" i="26" s="1"/>
  <c r="S9" i="26" s="1"/>
  <c r="B9" i="27" s="1"/>
  <c r="S9" i="27" s="1"/>
  <c r="B9" i="28" s="1"/>
  <c r="S9" i="28" s="1"/>
  <c r="B9" i="29" s="1"/>
  <c r="S9" i="29" s="1"/>
  <c r="B9" i="30" s="1"/>
  <c r="S9" i="30" s="1"/>
  <c r="B9" i="31" s="1"/>
  <c r="S9" i="31" s="1"/>
  <c r="B9" i="32" s="1"/>
  <c r="S9" i="32" s="1"/>
  <c r="B9" i="33" s="1"/>
  <c r="S9" i="33" s="1"/>
  <c r="B9" i="34" s="1"/>
  <c r="S9" i="34" s="1"/>
  <c r="B9" i="35" s="1"/>
  <c r="S9" i="35" s="1"/>
  <c r="B9" i="36" s="1"/>
  <c r="S9" i="36" s="1"/>
  <c r="B9" i="37" s="1"/>
  <c r="S9" i="37" s="1"/>
  <c r="B9" i="38" s="1"/>
  <c r="S9" i="38" s="1"/>
  <c r="B9" i="39" s="1"/>
  <c r="S9" i="39" s="1"/>
  <c r="B9" i="40" s="1"/>
  <c r="S9" i="40" s="1"/>
  <c r="B9" i="41" s="1"/>
  <c r="S9" i="41" s="1"/>
  <c r="B9" i="42" s="1"/>
  <c r="S9" i="42" s="1"/>
  <c r="B9" i="43" s="1"/>
  <c r="S9" i="43" s="1"/>
  <c r="B9" i="44" s="1"/>
  <c r="S9" i="44" s="1"/>
  <c r="B9" i="45" s="1"/>
  <c r="S9" i="45" s="1"/>
  <c r="B9" i="46" s="1"/>
  <c r="S9" i="46" s="1"/>
  <c r="B9" i="47" s="1"/>
  <c r="S9" i="47" s="1"/>
  <c r="B9" i="48" s="1"/>
  <c r="S9" i="48" s="1"/>
  <c r="B9" i="49" s="1"/>
  <c r="S9" i="49" s="1"/>
  <c r="B9" i="50" s="1"/>
  <c r="S9" i="50" s="1"/>
  <c r="B9" i="51" s="1"/>
  <c r="S9" i="51" s="1"/>
  <c r="B9" i="52" s="1"/>
  <c r="S9" i="52" s="1"/>
  <c r="B9" i="53" s="1"/>
  <c r="S9" i="53" s="1"/>
  <c r="B9" i="54" s="1"/>
  <c r="S9" i="54" s="1"/>
  <c r="B9" i="55" s="1"/>
  <c r="S9" i="55" s="1"/>
  <c r="B9" i="56" s="1"/>
  <c r="S9" i="56" s="1"/>
  <c r="B9" i="57" s="1"/>
  <c r="S9" i="57" s="1"/>
  <c r="S22" i="4"/>
  <c r="B22" i="6" s="1"/>
  <c r="S7" i="4"/>
  <c r="B7" i="6" s="1"/>
  <c r="S7" i="6" s="1"/>
  <c r="B7" i="7" s="1"/>
  <c r="S7" i="7" s="1"/>
  <c r="B7" i="8" s="1"/>
  <c r="S7" i="8" s="1"/>
  <c r="B7" i="9" s="1"/>
  <c r="S7" i="9" s="1"/>
  <c r="B7" i="10" s="1"/>
  <c r="S7" i="10" s="1"/>
  <c r="B7" i="11" s="1"/>
  <c r="S7" i="11" s="1"/>
  <c r="B7" i="12" s="1"/>
  <c r="S7" i="12" s="1"/>
  <c r="B7" i="13" s="1"/>
  <c r="S7" i="13" s="1"/>
  <c r="B7" i="14" s="1"/>
  <c r="S7" i="14" s="1"/>
  <c r="B7" i="15" s="1"/>
  <c r="S7" i="15" s="1"/>
  <c r="B7" i="16" s="1"/>
  <c r="S7" i="16" s="1"/>
  <c r="B7" i="17" s="1"/>
  <c r="S7" i="17" s="1"/>
  <c r="B7" i="18" s="1"/>
  <c r="S7" i="18" s="1"/>
  <c r="B7" i="19" s="1"/>
  <c r="S7" i="19" s="1"/>
  <c r="B7" i="20" s="1"/>
  <c r="S7" i="20" s="1"/>
  <c r="B7" i="21" s="1"/>
  <c r="S7" i="21" s="1"/>
  <c r="B7" i="22" s="1"/>
  <c r="S7" i="22" s="1"/>
  <c r="B7" i="23" s="1"/>
  <c r="S7" i="23" s="1"/>
  <c r="B7" i="24" s="1"/>
  <c r="S7" i="24" s="1"/>
  <c r="B7" i="25" s="1"/>
  <c r="S7" i="25" s="1"/>
  <c r="B7" i="26" s="1"/>
  <c r="S7" i="26" s="1"/>
  <c r="B7" i="27" s="1"/>
  <c r="S7" i="27" s="1"/>
  <c r="B7" i="28" s="1"/>
  <c r="S7" i="28" s="1"/>
  <c r="B7" i="29" s="1"/>
  <c r="S7" i="29" s="1"/>
  <c r="B7" i="30" s="1"/>
  <c r="S7" i="30" s="1"/>
  <c r="B7" i="31" s="1"/>
  <c r="S7" i="31" s="1"/>
  <c r="B7" i="32" s="1"/>
  <c r="S7" i="32" s="1"/>
  <c r="B7" i="33" s="1"/>
  <c r="S7" i="33" s="1"/>
  <c r="B7" i="34" s="1"/>
  <c r="S7" i="34" s="1"/>
  <c r="B7" i="35" s="1"/>
  <c r="S7" i="35" s="1"/>
  <c r="B7" i="36" s="1"/>
  <c r="S7" i="36" s="1"/>
  <c r="B7" i="37" s="1"/>
  <c r="S7" i="37" s="1"/>
  <c r="B7" i="38" s="1"/>
  <c r="S7" i="38" s="1"/>
  <c r="B7" i="39" s="1"/>
  <c r="S7" i="39" s="1"/>
  <c r="B7" i="40" s="1"/>
  <c r="S7" i="40" s="1"/>
  <c r="B7" i="41" s="1"/>
  <c r="S7" i="41" s="1"/>
  <c r="B7" i="42" s="1"/>
  <c r="S7" i="42" s="1"/>
  <c r="B7" i="43" s="1"/>
  <c r="S7" i="43" s="1"/>
  <c r="B7" i="44" s="1"/>
  <c r="S7" i="44" s="1"/>
  <c r="B7" i="45" s="1"/>
  <c r="S7" i="45" s="1"/>
  <c r="B7" i="46" s="1"/>
  <c r="S7" i="46" s="1"/>
  <c r="B7" i="47" s="1"/>
  <c r="S7" i="47" s="1"/>
  <c r="B7" i="48" s="1"/>
  <c r="S7" i="48" s="1"/>
  <c r="B7" i="49" s="1"/>
  <c r="S7" i="49" s="1"/>
  <c r="B7" i="50" s="1"/>
  <c r="S7" i="50" s="1"/>
  <c r="B7" i="51" s="1"/>
  <c r="S7" i="51" s="1"/>
  <c r="B7" i="52" s="1"/>
  <c r="S7" i="52" s="1"/>
  <c r="B7" i="53" s="1"/>
  <c r="S7" i="53" s="1"/>
  <c r="B7" i="54" s="1"/>
  <c r="S7" i="54" s="1"/>
  <c r="B7" i="55" s="1"/>
  <c r="S7" i="55" s="1"/>
  <c r="B7" i="56" s="1"/>
  <c r="S7" i="56" s="1"/>
  <c r="B7" i="57" s="1"/>
  <c r="S7" i="57" s="1"/>
  <c r="S5" i="4"/>
  <c r="B31" i="4"/>
  <c r="S10" i="4"/>
  <c r="B10" i="6" s="1"/>
  <c r="S10" i="6" s="1"/>
  <c r="B10" i="7" s="1"/>
  <c r="S10" i="7" s="1"/>
  <c r="B10" i="8" s="1"/>
  <c r="S10" i="8" s="1"/>
  <c r="B10" i="9" s="1"/>
  <c r="S10" i="9" s="1"/>
  <c r="B10" i="10" s="1"/>
  <c r="S10" i="10" s="1"/>
  <c r="B10" i="11" s="1"/>
  <c r="S10" i="11" s="1"/>
  <c r="B10" i="12" s="1"/>
  <c r="S10" i="12" s="1"/>
  <c r="B10" i="13" s="1"/>
  <c r="S10" i="13" s="1"/>
  <c r="B10" i="14" s="1"/>
  <c r="S10" i="14" s="1"/>
  <c r="B10" i="15" s="1"/>
  <c r="S10" i="15" s="1"/>
  <c r="B10" i="16" s="1"/>
  <c r="S10" i="16" s="1"/>
  <c r="B10" i="17" s="1"/>
  <c r="S10" i="17" s="1"/>
  <c r="B10" i="18" s="1"/>
  <c r="S10" i="18" s="1"/>
  <c r="B10" i="19" s="1"/>
  <c r="S10" i="19" s="1"/>
  <c r="B10" i="20" s="1"/>
  <c r="S10" i="20" s="1"/>
  <c r="B10" i="21" s="1"/>
  <c r="S10" i="21" s="1"/>
  <c r="B10" i="22" s="1"/>
  <c r="S10" i="22" s="1"/>
  <c r="B10" i="23" s="1"/>
  <c r="S10" i="23" s="1"/>
  <c r="B10" i="24" s="1"/>
  <c r="S10" i="24" s="1"/>
  <c r="B10" i="25" s="1"/>
  <c r="S10" i="25" s="1"/>
  <c r="B10" i="26" s="1"/>
  <c r="S10" i="26" s="1"/>
  <c r="B10" i="27" s="1"/>
  <c r="S10" i="27" s="1"/>
  <c r="B10" i="28" s="1"/>
  <c r="S10" i="28" s="1"/>
  <c r="B10" i="29" s="1"/>
  <c r="S10" i="29" s="1"/>
  <c r="B10" i="30" s="1"/>
  <c r="S10" i="30" s="1"/>
  <c r="B10" i="31" s="1"/>
  <c r="S10" i="31" s="1"/>
  <c r="B10" i="32" s="1"/>
  <c r="S10" i="32" s="1"/>
  <c r="B10" i="33" s="1"/>
  <c r="S10" i="33" s="1"/>
  <c r="B10" i="34" s="1"/>
  <c r="S10" i="34" s="1"/>
  <c r="B10" i="35" s="1"/>
  <c r="S10" i="35" s="1"/>
  <c r="B10" i="36" s="1"/>
  <c r="S10" i="36" s="1"/>
  <c r="B10" i="37" s="1"/>
  <c r="S10" i="37" s="1"/>
  <c r="B10" i="38" s="1"/>
  <c r="S10" i="38" s="1"/>
  <c r="B10" i="39" s="1"/>
  <c r="S10" i="39" s="1"/>
  <c r="B10" i="40" s="1"/>
  <c r="S10" i="40" s="1"/>
  <c r="B10" i="41" s="1"/>
  <c r="S10" i="41" s="1"/>
  <c r="B10" i="42" s="1"/>
  <c r="S10" i="42" s="1"/>
  <c r="B10" i="43" s="1"/>
  <c r="S10" i="43" s="1"/>
  <c r="B10" i="44" s="1"/>
  <c r="S10" i="44" s="1"/>
  <c r="B10" i="45" s="1"/>
  <c r="S10" i="45" s="1"/>
  <c r="B10" i="46" s="1"/>
  <c r="S10" i="46" s="1"/>
  <c r="B10" i="47" s="1"/>
  <c r="S10" i="47" s="1"/>
  <c r="B10" i="48" s="1"/>
  <c r="S10" i="48" s="1"/>
  <c r="B10" i="49" s="1"/>
  <c r="S10" i="49" s="1"/>
  <c r="B10" i="50" s="1"/>
  <c r="S10" i="50" s="1"/>
  <c r="B10" i="51" s="1"/>
  <c r="S10" i="51" s="1"/>
  <c r="B10" i="52" s="1"/>
  <c r="S10" i="52" s="1"/>
  <c r="B10" i="53" s="1"/>
  <c r="S10" i="53" s="1"/>
  <c r="B10" i="54" s="1"/>
  <c r="S10" i="54" s="1"/>
  <c r="B10" i="55" s="1"/>
  <c r="S10" i="55" s="1"/>
  <c r="B10" i="56" s="1"/>
  <c r="S10" i="56" s="1"/>
  <c r="B10" i="57" s="1"/>
  <c r="S10" i="57" s="1"/>
  <c r="S18" i="4" l="1"/>
  <c r="B5" i="6"/>
  <c r="S22" i="6"/>
  <c r="S20" i="4"/>
  <c r="B18" i="4"/>
  <c r="B33" i="4" s="1"/>
  <c r="S33" i="4" l="1"/>
  <c r="S36" i="4" s="1"/>
  <c r="S31" i="4"/>
  <c r="B20" i="6"/>
  <c r="B22" i="7"/>
  <c r="B18" i="6"/>
  <c r="S5" i="6"/>
  <c r="S18" i="6" l="1"/>
  <c r="B5" i="7"/>
  <c r="S22" i="7"/>
  <c r="B31" i="6"/>
  <c r="S20" i="6"/>
  <c r="B33" i="6"/>
  <c r="S31" i="6" l="1"/>
  <c r="B20" i="7"/>
  <c r="S33" i="6"/>
  <c r="S36" i="6" s="1"/>
  <c r="B18" i="7"/>
  <c r="S5" i="7"/>
  <c r="B22" i="8"/>
  <c r="S22" i="8" l="1"/>
  <c r="S18" i="7"/>
  <c r="B5" i="8"/>
  <c r="B31" i="7"/>
  <c r="S20" i="7"/>
  <c r="B33" i="7"/>
  <c r="S31" i="7" l="1"/>
  <c r="B20" i="8"/>
  <c r="S33" i="7"/>
  <c r="S36" i="7" s="1"/>
  <c r="B18" i="8"/>
  <c r="S5" i="8"/>
  <c r="B22" i="9"/>
  <c r="S22" i="9" l="1"/>
  <c r="S18" i="8"/>
  <c r="B5" i="9"/>
  <c r="B31" i="8"/>
  <c r="S20" i="8"/>
  <c r="B33" i="8"/>
  <c r="S31" i="8" l="1"/>
  <c r="B20" i="9"/>
  <c r="S33" i="8"/>
  <c r="S36" i="8" s="1"/>
  <c r="B18" i="9"/>
  <c r="S5" i="9"/>
  <c r="B22" i="10"/>
  <c r="S22" i="10" l="1"/>
  <c r="S18" i="9"/>
  <c r="B5" i="10"/>
  <c r="B31" i="9"/>
  <c r="S20" i="9"/>
  <c r="B33" i="9"/>
  <c r="S31" i="9" l="1"/>
  <c r="B20" i="10"/>
  <c r="S33" i="9"/>
  <c r="S36" i="9" s="1"/>
  <c r="B18" i="10"/>
  <c r="S5" i="10"/>
  <c r="B22" i="11"/>
  <c r="S22" i="11" l="1"/>
  <c r="S18" i="10"/>
  <c r="B5" i="11"/>
  <c r="B31" i="10"/>
  <c r="S20" i="10"/>
  <c r="B33" i="10"/>
  <c r="S31" i="10" l="1"/>
  <c r="B20" i="11"/>
  <c r="S33" i="10"/>
  <c r="S36" i="10" s="1"/>
  <c r="B18" i="11"/>
  <c r="S5" i="11"/>
  <c r="B22" i="12"/>
  <c r="S22" i="12" l="1"/>
  <c r="S18" i="11"/>
  <c r="B5" i="12"/>
  <c r="B31" i="11"/>
  <c r="S20" i="11"/>
  <c r="B33" i="11"/>
  <c r="S31" i="11" l="1"/>
  <c r="B20" i="12"/>
  <c r="S33" i="11"/>
  <c r="S36" i="11" s="1"/>
  <c r="B18" i="12"/>
  <c r="S5" i="12"/>
  <c r="B22" i="13"/>
  <c r="S22" i="13" l="1"/>
  <c r="S18" i="12"/>
  <c r="B5" i="13"/>
  <c r="B31" i="12"/>
  <c r="S20" i="12"/>
  <c r="B33" i="12"/>
  <c r="S31" i="12" l="1"/>
  <c r="B20" i="13"/>
  <c r="S33" i="12"/>
  <c r="S36" i="12" s="1"/>
  <c r="B18" i="13"/>
  <c r="S5" i="13"/>
  <c r="B22" i="14"/>
  <c r="S22" i="14" l="1"/>
  <c r="S18" i="13"/>
  <c r="B5" i="14"/>
  <c r="B31" i="13"/>
  <c r="S20" i="13"/>
  <c r="B33" i="13"/>
  <c r="S31" i="13" l="1"/>
  <c r="B20" i="14"/>
  <c r="S33" i="13"/>
  <c r="S36" i="13" s="1"/>
  <c r="B18" i="14"/>
  <c r="S5" i="14"/>
  <c r="B22" i="15"/>
  <c r="S22" i="15" l="1"/>
  <c r="B5" i="15"/>
  <c r="S18" i="14"/>
  <c r="B31" i="14"/>
  <c r="S20" i="14"/>
  <c r="B33" i="14"/>
  <c r="S31" i="14" l="1"/>
  <c r="B20" i="15"/>
  <c r="S33" i="14"/>
  <c r="S36" i="14" s="1"/>
  <c r="B18" i="15"/>
  <c r="S5" i="15"/>
  <c r="B22" i="16"/>
  <c r="B31" i="15" l="1"/>
  <c r="S20" i="15"/>
  <c r="B33" i="15"/>
  <c r="S22" i="16"/>
  <c r="S18" i="15"/>
  <c r="B5" i="16"/>
  <c r="S5" i="16" l="1"/>
  <c r="B18" i="16"/>
  <c r="S31" i="15"/>
  <c r="B20" i="16"/>
  <c r="S33" i="15"/>
  <c r="S36" i="15" s="1"/>
  <c r="B22" i="17"/>
  <c r="S22" i="17" l="1"/>
  <c r="B31" i="16"/>
  <c r="S20" i="16"/>
  <c r="B33" i="16"/>
  <c r="S18" i="16"/>
  <c r="B5" i="17"/>
  <c r="B22" i="18" l="1"/>
  <c r="B18" i="17"/>
  <c r="S5" i="17"/>
  <c r="B20" i="17"/>
  <c r="S31" i="16"/>
  <c r="S33" i="16"/>
  <c r="S36" i="16" s="1"/>
  <c r="B31" i="17" l="1"/>
  <c r="S20" i="17"/>
  <c r="B33" i="17"/>
  <c r="S22" i="18"/>
  <c r="S18" i="17"/>
  <c r="B5" i="18"/>
  <c r="B22" i="19" l="1"/>
  <c r="B18" i="18"/>
  <c r="S5" i="18"/>
  <c r="S31" i="17"/>
  <c r="B20" i="18"/>
  <c r="S33" i="17"/>
  <c r="S36" i="17" s="1"/>
  <c r="B5" i="19" l="1"/>
  <c r="S18" i="18"/>
  <c r="S20" i="18"/>
  <c r="B31" i="18"/>
  <c r="B33" i="18"/>
  <c r="S22" i="19"/>
  <c r="B22" i="20" l="1"/>
  <c r="S31" i="18"/>
  <c r="B20" i="19"/>
  <c r="S33" i="18"/>
  <c r="S36" i="18" s="1"/>
  <c r="B18" i="19"/>
  <c r="S5" i="19"/>
  <c r="B31" i="19" l="1"/>
  <c r="S20" i="19"/>
  <c r="B33" i="19"/>
  <c r="S18" i="19"/>
  <c r="B5" i="20"/>
  <c r="S22" i="20"/>
  <c r="B22" i="21" l="1"/>
  <c r="S31" i="19"/>
  <c r="B20" i="20"/>
  <c r="S33" i="19"/>
  <c r="S36" i="19" s="1"/>
  <c r="B18" i="20"/>
  <c r="S5" i="20"/>
  <c r="S18" i="20" l="1"/>
  <c r="B5" i="21"/>
  <c r="B31" i="20"/>
  <c r="S20" i="20"/>
  <c r="B33" i="20"/>
  <c r="S22" i="21"/>
  <c r="B22" i="22" l="1"/>
  <c r="B20" i="21"/>
  <c r="S31" i="20"/>
  <c r="S33" i="20"/>
  <c r="S36" i="20" s="1"/>
  <c r="B18" i="21"/>
  <c r="S5" i="21"/>
  <c r="S22" i="22" l="1"/>
  <c r="S18" i="21"/>
  <c r="B5" i="22"/>
  <c r="B31" i="21"/>
  <c r="S20" i="21"/>
  <c r="B33" i="21"/>
  <c r="B18" i="22" l="1"/>
  <c r="S5" i="22"/>
  <c r="B22" i="23"/>
  <c r="S31" i="21"/>
  <c r="B20" i="22"/>
  <c r="S33" i="21"/>
  <c r="S36" i="21" s="1"/>
  <c r="S20" i="22" l="1"/>
  <c r="B31" i="22"/>
  <c r="B33" i="22"/>
  <c r="S22" i="23"/>
  <c r="B5" i="23"/>
  <c r="S18" i="22"/>
  <c r="B18" i="23" l="1"/>
  <c r="S5" i="23"/>
  <c r="B22" i="24"/>
  <c r="S31" i="22"/>
  <c r="B20" i="23"/>
  <c r="S33" i="22"/>
  <c r="S36" i="22" s="1"/>
  <c r="B31" i="23" l="1"/>
  <c r="S20" i="23"/>
  <c r="B33" i="23"/>
  <c r="S22" i="24"/>
  <c r="S18" i="23"/>
  <c r="B5" i="24"/>
  <c r="B22" i="25" l="1"/>
  <c r="B18" i="24"/>
  <c r="S5" i="24"/>
  <c r="S31" i="23"/>
  <c r="B20" i="24"/>
  <c r="S33" i="23"/>
  <c r="S36" i="23" s="1"/>
  <c r="S18" i="24" l="1"/>
  <c r="B5" i="25"/>
  <c r="B31" i="24"/>
  <c r="S20" i="24"/>
  <c r="B33" i="24"/>
  <c r="S22" i="25"/>
  <c r="B22" i="26" l="1"/>
  <c r="S31" i="24"/>
  <c r="B20" i="25"/>
  <c r="S33" i="24"/>
  <c r="S36" i="24" s="1"/>
  <c r="B18" i="25"/>
  <c r="S5" i="25"/>
  <c r="S18" i="25" l="1"/>
  <c r="B5" i="26"/>
  <c r="B31" i="25"/>
  <c r="S20" i="25"/>
  <c r="B33" i="25"/>
  <c r="S22" i="26"/>
  <c r="B22" i="27" l="1"/>
  <c r="S31" i="25"/>
  <c r="B20" i="26"/>
  <c r="S33" i="25"/>
  <c r="S36" i="25" s="1"/>
  <c r="B18" i="26"/>
  <c r="S5" i="26"/>
  <c r="B5" i="27" l="1"/>
  <c r="S18" i="26"/>
  <c r="S20" i="26"/>
  <c r="B31" i="26"/>
  <c r="B33" i="26"/>
  <c r="S22" i="27"/>
  <c r="B22" i="28" l="1"/>
  <c r="S31" i="26"/>
  <c r="B20" i="27"/>
  <c r="S33" i="26"/>
  <c r="S36" i="26" s="1"/>
  <c r="B18" i="27"/>
  <c r="S5" i="27"/>
  <c r="S18" i="27" l="1"/>
  <c r="B5" i="28"/>
  <c r="B31" i="27"/>
  <c r="S20" i="27"/>
  <c r="B33" i="27"/>
  <c r="S22" i="28"/>
  <c r="S31" i="27" l="1"/>
  <c r="B20" i="28"/>
  <c r="S33" i="27"/>
  <c r="S36" i="27" s="1"/>
  <c r="B18" i="28"/>
  <c r="S5" i="28"/>
  <c r="B22" i="29"/>
  <c r="S22" i="29" l="1"/>
  <c r="S18" i="28"/>
  <c r="B5" i="29"/>
  <c r="B31" i="28"/>
  <c r="S20" i="28"/>
  <c r="B33" i="28"/>
  <c r="S31" i="28" l="1"/>
  <c r="B20" i="29"/>
  <c r="S33" i="28"/>
  <c r="S36" i="28" s="1"/>
  <c r="B22" i="30"/>
  <c r="B18" i="29"/>
  <c r="S5" i="29"/>
  <c r="B31" i="29" l="1"/>
  <c r="S20" i="29"/>
  <c r="B33" i="29"/>
  <c r="S18" i="29"/>
  <c r="B5" i="30"/>
  <c r="S22" i="30"/>
  <c r="B22" i="31" l="1"/>
  <c r="B18" i="30"/>
  <c r="S5" i="30"/>
  <c r="S31" i="29"/>
  <c r="B20" i="30"/>
  <c r="S33" i="29"/>
  <c r="S36" i="29" s="1"/>
  <c r="S20" i="30" l="1"/>
  <c r="B31" i="30"/>
  <c r="B33" i="30"/>
  <c r="B5" i="31"/>
  <c r="S18" i="30"/>
  <c r="S22" i="31"/>
  <c r="B22" i="32" l="1"/>
  <c r="B18" i="31"/>
  <c r="S5" i="31"/>
  <c r="S31" i="30"/>
  <c r="B20" i="31"/>
  <c r="S33" i="30"/>
  <c r="S36" i="30" s="1"/>
  <c r="B31" i="31" l="1"/>
  <c r="S20" i="31"/>
  <c r="B33" i="31"/>
  <c r="S18" i="31"/>
  <c r="B5" i="32"/>
  <c r="S22" i="32"/>
  <c r="B22" i="33" l="1"/>
  <c r="B18" i="32"/>
  <c r="S5" i="32"/>
  <c r="S31" i="31"/>
  <c r="B20" i="32"/>
  <c r="S33" i="31"/>
  <c r="S36" i="31" s="1"/>
  <c r="B31" i="32" l="1"/>
  <c r="S20" i="32"/>
  <c r="B33" i="32"/>
  <c r="S18" i="32"/>
  <c r="B5" i="33"/>
  <c r="S22" i="33"/>
  <c r="B22" i="34" l="1"/>
  <c r="B18" i="33"/>
  <c r="S5" i="33"/>
  <c r="S31" i="32"/>
  <c r="B20" i="33"/>
  <c r="S33" i="32"/>
  <c r="S36" i="32" s="1"/>
  <c r="B31" i="33" l="1"/>
  <c r="S20" i="33"/>
  <c r="B33" i="33"/>
  <c r="S18" i="33"/>
  <c r="B5" i="34"/>
  <c r="S22" i="34"/>
  <c r="B22" i="35" l="1"/>
  <c r="B18" i="34"/>
  <c r="S5" i="34"/>
  <c r="S31" i="33"/>
  <c r="B20" i="34"/>
  <c r="S33" i="33"/>
  <c r="S36" i="33" s="1"/>
  <c r="S20" i="34" l="1"/>
  <c r="B31" i="34"/>
  <c r="B33" i="34"/>
  <c r="B5" i="35"/>
  <c r="S18" i="34"/>
  <c r="S22" i="35"/>
  <c r="B18" i="35" l="1"/>
  <c r="S5" i="35"/>
  <c r="B22" i="36"/>
  <c r="S31" i="34"/>
  <c r="B20" i="35"/>
  <c r="S33" i="34"/>
  <c r="S36" i="34" s="1"/>
  <c r="S22" i="36" l="1"/>
  <c r="B31" i="35"/>
  <c r="S20" i="35"/>
  <c r="B33" i="35"/>
  <c r="S18" i="35"/>
  <c r="B5" i="36"/>
  <c r="B18" i="36" l="1"/>
  <c r="S5" i="36"/>
  <c r="S31" i="35"/>
  <c r="B20" i="36"/>
  <c r="S33" i="35"/>
  <c r="S36" i="35" s="1"/>
  <c r="B22" i="37"/>
  <c r="B31" i="36" l="1"/>
  <c r="S20" i="36"/>
  <c r="B33" i="36"/>
  <c r="S18" i="36"/>
  <c r="B5" i="37"/>
  <c r="S22" i="37"/>
  <c r="B22" i="38" l="1"/>
  <c r="B18" i="37"/>
  <c r="S5" i="37"/>
  <c r="B20" i="37"/>
  <c r="S31" i="36"/>
  <c r="S33" i="36"/>
  <c r="S36" i="36" s="1"/>
  <c r="S18" i="37" l="1"/>
  <c r="B5" i="38"/>
  <c r="B31" i="37"/>
  <c r="S20" i="37"/>
  <c r="B33" i="37"/>
  <c r="S22" i="38"/>
  <c r="B22" i="39" l="1"/>
  <c r="S31" i="37"/>
  <c r="B20" i="38"/>
  <c r="S33" i="37"/>
  <c r="S36" i="37" s="1"/>
  <c r="B18" i="38"/>
  <c r="S5" i="38"/>
  <c r="S18" i="38" l="1"/>
  <c r="B5" i="39"/>
  <c r="S20" i="38"/>
  <c r="B31" i="38"/>
  <c r="B33" i="38"/>
  <c r="S22" i="39"/>
  <c r="B18" i="39" l="1"/>
  <c r="S5" i="39"/>
  <c r="B22" i="40"/>
  <c r="S31" i="38"/>
  <c r="B20" i="39"/>
  <c r="S33" i="38"/>
  <c r="S36" i="38" s="1"/>
  <c r="S22" i="40" l="1"/>
  <c r="B31" i="39"/>
  <c r="S20" i="39"/>
  <c r="B33" i="39"/>
  <c r="B5" i="40"/>
  <c r="S18" i="39"/>
  <c r="B22" i="41" l="1"/>
  <c r="B18" i="40"/>
  <c r="S5" i="40"/>
  <c r="S31" i="39"/>
  <c r="B20" i="40"/>
  <c r="S33" i="39"/>
  <c r="S36" i="39" s="1"/>
  <c r="B31" i="40" l="1"/>
  <c r="S20" i="40"/>
  <c r="B33" i="40"/>
  <c r="S18" i="40"/>
  <c r="B5" i="41"/>
  <c r="S22" i="41"/>
  <c r="B22" i="42" l="1"/>
  <c r="B18" i="41"/>
  <c r="S5" i="41"/>
  <c r="S31" i="40"/>
  <c r="B20" i="41"/>
  <c r="S33" i="40"/>
  <c r="S36" i="40" s="1"/>
  <c r="B31" i="41" l="1"/>
  <c r="S20" i="41"/>
  <c r="B33" i="41"/>
  <c r="S18" i="41"/>
  <c r="B5" i="42"/>
  <c r="S22" i="42"/>
  <c r="B22" i="43" l="1"/>
  <c r="B18" i="42"/>
  <c r="S5" i="42"/>
  <c r="S31" i="41"/>
  <c r="B20" i="42"/>
  <c r="S33" i="41"/>
  <c r="S36" i="41" s="1"/>
  <c r="S20" i="42" l="1"/>
  <c r="B31" i="42"/>
  <c r="B33" i="42"/>
  <c r="S18" i="42"/>
  <c r="B5" i="43"/>
  <c r="S22" i="43"/>
  <c r="B22" i="44" l="1"/>
  <c r="B18" i="43"/>
  <c r="S5" i="43"/>
  <c r="S31" i="42"/>
  <c r="B20" i="43"/>
  <c r="S33" i="42"/>
  <c r="S36" i="42" s="1"/>
  <c r="B31" i="43" l="1"/>
  <c r="S20" i="43"/>
  <c r="B33" i="43"/>
  <c r="B5" i="44"/>
  <c r="S18" i="43"/>
  <c r="S22" i="44"/>
  <c r="B22" i="45" l="1"/>
  <c r="B18" i="44"/>
  <c r="S5" i="44"/>
  <c r="S31" i="43"/>
  <c r="B20" i="44"/>
  <c r="S33" i="43"/>
  <c r="S36" i="43" s="1"/>
  <c r="B31" i="44" l="1"/>
  <c r="S20" i="44"/>
  <c r="B33" i="44"/>
  <c r="S18" i="44"/>
  <c r="B5" i="45"/>
  <c r="S22" i="45"/>
  <c r="B22" i="46" l="1"/>
  <c r="B18" i="45"/>
  <c r="S5" i="45"/>
  <c r="S31" i="44"/>
  <c r="B20" i="45"/>
  <c r="S33" i="44"/>
  <c r="S36" i="44" s="1"/>
  <c r="B31" i="45" l="1"/>
  <c r="S20" i="45"/>
  <c r="B33" i="45"/>
  <c r="S18" i="45"/>
  <c r="B5" i="46"/>
  <c r="S22" i="46"/>
  <c r="B22" i="47" l="1"/>
  <c r="B18" i="46"/>
  <c r="S5" i="46"/>
  <c r="S31" i="45"/>
  <c r="B20" i="46"/>
  <c r="S33" i="45"/>
  <c r="S36" i="45" s="1"/>
  <c r="B31" i="46" l="1"/>
  <c r="S20" i="46"/>
  <c r="B33" i="46"/>
  <c r="B5" i="47"/>
  <c r="S18" i="46"/>
  <c r="S22" i="47"/>
  <c r="B22" i="48" l="1"/>
  <c r="B18" i="47"/>
  <c r="S5" i="47"/>
  <c r="S31" i="46"/>
  <c r="B20" i="47"/>
  <c r="S33" i="46"/>
  <c r="S36" i="46" s="1"/>
  <c r="B31" i="47" l="1"/>
  <c r="S20" i="47"/>
  <c r="B33" i="47"/>
  <c r="S18" i="47"/>
  <c r="B5" i="48"/>
  <c r="S22" i="48"/>
  <c r="B22" i="49" l="1"/>
  <c r="B18" i="48"/>
  <c r="S5" i="48"/>
  <c r="S31" i="47"/>
  <c r="B20" i="48"/>
  <c r="S33" i="47"/>
  <c r="S36" i="47" s="1"/>
  <c r="B31" i="48" l="1"/>
  <c r="S20" i="48"/>
  <c r="B33" i="48"/>
  <c r="S18" i="48"/>
  <c r="B5" i="49"/>
  <c r="S22" i="49"/>
  <c r="B22" i="50" l="1"/>
  <c r="B18" i="49"/>
  <c r="S5" i="49"/>
  <c r="S31" i="48"/>
  <c r="B20" i="49"/>
  <c r="S33" i="48"/>
  <c r="S36" i="48" s="1"/>
  <c r="B31" i="49" l="1"/>
  <c r="S20" i="49"/>
  <c r="B33" i="49"/>
  <c r="S18" i="49"/>
  <c r="B5" i="50"/>
  <c r="S22" i="50"/>
  <c r="B22" i="51" l="1"/>
  <c r="S5" i="50"/>
  <c r="B18" i="50"/>
  <c r="S31" i="49"/>
  <c r="B20" i="50"/>
  <c r="S33" i="49"/>
  <c r="S36" i="49" s="1"/>
  <c r="B31" i="50" l="1"/>
  <c r="S20" i="50"/>
  <c r="B33" i="50"/>
  <c r="S22" i="51"/>
  <c r="S18" i="50"/>
  <c r="B5" i="51"/>
  <c r="B18" i="51" l="1"/>
  <c r="S5" i="51"/>
  <c r="B22" i="52"/>
  <c r="S31" i="50"/>
  <c r="B20" i="51"/>
  <c r="S33" i="50"/>
  <c r="S36" i="50" s="1"/>
  <c r="B31" i="51" l="1"/>
  <c r="S20" i="51"/>
  <c r="B33" i="51"/>
  <c r="S22" i="52"/>
  <c r="S18" i="51"/>
  <c r="B5" i="52"/>
  <c r="S5" i="52" l="1"/>
  <c r="B18" i="52"/>
  <c r="B22" i="53"/>
  <c r="S31" i="51"/>
  <c r="B20" i="52"/>
  <c r="S33" i="51"/>
  <c r="S36" i="51" s="1"/>
  <c r="B31" i="52" l="1"/>
  <c r="S20" i="52"/>
  <c r="B33" i="52"/>
  <c r="S22" i="53"/>
  <c r="S18" i="52"/>
  <c r="B5" i="53"/>
  <c r="B18" i="53" l="1"/>
  <c r="S5" i="53"/>
  <c r="B22" i="54"/>
  <c r="S31" i="52"/>
  <c r="B20" i="53"/>
  <c r="S33" i="52"/>
  <c r="S36" i="52" s="1"/>
  <c r="B31" i="53" l="1"/>
  <c r="S20" i="53"/>
  <c r="B33" i="53"/>
  <c r="S22" i="54"/>
  <c r="S18" i="53"/>
  <c r="B5" i="54"/>
  <c r="B18" i="54" l="1"/>
  <c r="S5" i="54"/>
  <c r="B22" i="55"/>
  <c r="S31" i="53"/>
  <c r="B20" i="54"/>
  <c r="S33" i="53"/>
  <c r="S36" i="53" s="1"/>
  <c r="B31" i="54" l="1"/>
  <c r="S20" i="54"/>
  <c r="B33" i="54"/>
  <c r="S22" i="55"/>
  <c r="S18" i="54"/>
  <c r="B5" i="55"/>
  <c r="B18" i="55" l="1"/>
  <c r="S5" i="55"/>
  <c r="B22" i="56"/>
  <c r="S31" i="54"/>
  <c r="B20" i="55"/>
  <c r="S33" i="54"/>
  <c r="S36" i="54" s="1"/>
  <c r="S18" i="55" l="1"/>
  <c r="B5" i="56"/>
  <c r="B31" i="55"/>
  <c r="S20" i="55"/>
  <c r="B33" i="55"/>
  <c r="S22" i="56"/>
  <c r="B22" i="57" l="1"/>
  <c r="S31" i="55"/>
  <c r="B20" i="56"/>
  <c r="S33" i="55"/>
  <c r="S36" i="55" s="1"/>
  <c r="B18" i="56"/>
  <c r="S5" i="56"/>
  <c r="S18" i="56" l="1"/>
  <c r="B5" i="57"/>
  <c r="B31" i="56"/>
  <c r="S20" i="56"/>
  <c r="B33" i="56"/>
  <c r="S22" i="57"/>
  <c r="S31" i="56" l="1"/>
  <c r="B20" i="57"/>
  <c r="S33" i="56"/>
  <c r="S36" i="56" s="1"/>
  <c r="B18" i="57"/>
  <c r="S5" i="57"/>
  <c r="S18" i="57" s="1"/>
  <c r="B31" i="57" l="1"/>
  <c r="S20" i="57"/>
  <c r="B33" i="57"/>
  <c r="S31" i="57" l="1"/>
  <c r="S33" i="57"/>
  <c r="S36" i="57" s="1"/>
</calcChain>
</file>

<file path=xl/sharedStrings.xml><?xml version="1.0" encoding="utf-8"?>
<sst xmlns="http://schemas.openxmlformats.org/spreadsheetml/2006/main" count="1769" uniqueCount="132">
  <si>
    <t>Summe</t>
  </si>
  <si>
    <t>Folge-woche</t>
  </si>
  <si>
    <t>Ø A-Woche</t>
  </si>
  <si>
    <t>ältester</t>
  </si>
  <si>
    <t>Ø Eingänge-Woche</t>
  </si>
  <si>
    <t>PE</t>
  </si>
  <si>
    <t>A</t>
  </si>
  <si>
    <t>Postbearbeitung</t>
  </si>
  <si>
    <t>Eilige</t>
  </si>
  <si>
    <t>OVE Abfragen</t>
  </si>
  <si>
    <t>SB (Mietavale/StK)</t>
  </si>
  <si>
    <t>neue Mietavale</t>
  </si>
  <si>
    <t>Einfachaufträge</t>
  </si>
  <si>
    <t xml:space="preserve">Summe </t>
  </si>
  <si>
    <t>Antragsvorprüfung</t>
  </si>
  <si>
    <t>LV TAZ</t>
  </si>
  <si>
    <t>WGV</t>
  </si>
  <si>
    <t>SNOW</t>
  </si>
  <si>
    <t>Gesamtaufträge</t>
  </si>
  <si>
    <t>Jahr</t>
  </si>
  <si>
    <t>Post und Logistik</t>
  </si>
  <si>
    <t>Übertrag / Vorwoche</t>
  </si>
  <si>
    <t>Feiertage</t>
  </si>
  <si>
    <t>Neujahr</t>
  </si>
  <si>
    <t>Karfreitag</t>
  </si>
  <si>
    <t>Ostermontag</t>
  </si>
  <si>
    <t>Tag der Arbeit</t>
  </si>
  <si>
    <t>Christi Himmelfahrt</t>
  </si>
  <si>
    <t>Pfingstmontag</t>
  </si>
  <si>
    <t>Fronleichnam</t>
  </si>
  <si>
    <t>Tag der deutschen Einheit</t>
  </si>
  <si>
    <t>Allerheiligen</t>
  </si>
  <si>
    <t>Heiligabend</t>
  </si>
  <si>
    <t>2. Weihnachtstag</t>
  </si>
  <si>
    <t>1. Weihnachtstag</t>
  </si>
  <si>
    <t>Sylvester</t>
  </si>
  <si>
    <t>Ostersonntag</t>
  </si>
  <si>
    <t>Pfingstsonntag</t>
  </si>
  <si>
    <t>Rosenmontag</t>
  </si>
  <si>
    <t>Aschermittwoch</t>
  </si>
  <si>
    <t>Datum</t>
  </si>
  <si>
    <t>Postbearbeitung Bestand</t>
  </si>
  <si>
    <t>Mailbox</t>
  </si>
  <si>
    <t xml:space="preserve">   Buchungen</t>
  </si>
  <si>
    <t>SWP Mailbox</t>
  </si>
  <si>
    <t>KCB Mailbox</t>
  </si>
  <si>
    <t>Postbearbeitung BCB</t>
  </si>
  <si>
    <t>Januar</t>
  </si>
  <si>
    <t>Tag</t>
  </si>
  <si>
    <t>KW</t>
  </si>
  <si>
    <t>PA</t>
  </si>
  <si>
    <t>Summe Januar</t>
  </si>
  <si>
    <t>Summe KW 53</t>
  </si>
  <si>
    <t>Februar</t>
  </si>
  <si>
    <t>Summe Februar</t>
  </si>
  <si>
    <t>März</t>
  </si>
  <si>
    <t>Summe KW 10</t>
  </si>
  <si>
    <t>Summe KW 11</t>
  </si>
  <si>
    <t>Summe KW 12</t>
  </si>
  <si>
    <t>Summe KW 13</t>
  </si>
  <si>
    <t>Vorgängerinstitute</t>
  </si>
  <si>
    <t>Summe März</t>
  </si>
  <si>
    <t>April</t>
  </si>
  <si>
    <t>Mai</t>
  </si>
  <si>
    <t>Juni</t>
  </si>
  <si>
    <t>Summe April</t>
  </si>
  <si>
    <t>Summe Mai</t>
  </si>
  <si>
    <t>Summe Juni</t>
  </si>
  <si>
    <t>Juli</t>
  </si>
  <si>
    <t>August</t>
  </si>
  <si>
    <t>September</t>
  </si>
  <si>
    <t>Summe Juli</t>
  </si>
  <si>
    <t>Summe August</t>
  </si>
  <si>
    <t>Summe September</t>
  </si>
  <si>
    <t>Oktober</t>
  </si>
  <si>
    <t>November</t>
  </si>
  <si>
    <t>Dezember</t>
  </si>
  <si>
    <t>Summe Oktober</t>
  </si>
  <si>
    <t>Summe November</t>
  </si>
  <si>
    <t>Summe Dezember</t>
  </si>
  <si>
    <t>Summe KW 14</t>
  </si>
  <si>
    <t>Summe KW 15</t>
  </si>
  <si>
    <t>Summe KW 16</t>
  </si>
  <si>
    <t>Summe KW 17</t>
  </si>
  <si>
    <t>Summe KW 18</t>
  </si>
  <si>
    <t>Summe KW 19</t>
  </si>
  <si>
    <t>Summe KW 20</t>
  </si>
  <si>
    <t>Summe KW 21</t>
  </si>
  <si>
    <t>Summe KW 22</t>
  </si>
  <si>
    <t>Summe KW 09</t>
  </si>
  <si>
    <t>Summe KW 05</t>
  </si>
  <si>
    <t>Summe KW 06</t>
  </si>
  <si>
    <t>Summe KW 07</t>
  </si>
  <si>
    <t>Summe KW 08</t>
  </si>
  <si>
    <t>Summe KW 01</t>
  </si>
  <si>
    <t>Summe KW 02</t>
  </si>
  <si>
    <t>Summe KW 03</t>
  </si>
  <si>
    <t>Summe KW 04</t>
  </si>
  <si>
    <t>Summe KW 23</t>
  </si>
  <si>
    <t>Summe KW 24</t>
  </si>
  <si>
    <t>Summe KW 25</t>
  </si>
  <si>
    <t>Summe KW 26</t>
  </si>
  <si>
    <t>Summe KW 27</t>
  </si>
  <si>
    <t>Summe KW 28</t>
  </si>
  <si>
    <t>Summe KW 29</t>
  </si>
  <si>
    <t>Summe KW 30</t>
  </si>
  <si>
    <t>Summe KW 31</t>
  </si>
  <si>
    <t>Archiv</t>
  </si>
  <si>
    <t>Gesamtsumme</t>
  </si>
  <si>
    <t>Übertrag Archiv Vorwoche</t>
  </si>
  <si>
    <t>Summe KW 32</t>
  </si>
  <si>
    <t>Summe KW 33</t>
  </si>
  <si>
    <t>Summe KW 34</t>
  </si>
  <si>
    <t>Summe KW 35</t>
  </si>
  <si>
    <t>Summe KW 36</t>
  </si>
  <si>
    <t>Summe KW 37</t>
  </si>
  <si>
    <t>Summe KW 38</t>
  </si>
  <si>
    <t>Summe KW 39</t>
  </si>
  <si>
    <t>Summe KW 40</t>
  </si>
  <si>
    <t>Summe KW 41</t>
  </si>
  <si>
    <t>Summe KW 42</t>
  </si>
  <si>
    <t>Summe KW 43</t>
  </si>
  <si>
    <t>Summe KW 44</t>
  </si>
  <si>
    <t>Summe KW 45</t>
  </si>
  <si>
    <t>Summe KW 46</t>
  </si>
  <si>
    <t>Summe KW 47</t>
  </si>
  <si>
    <t>Summe KW 48</t>
  </si>
  <si>
    <t>Summe KW 49</t>
  </si>
  <si>
    <t>Summe KW 50</t>
  </si>
  <si>
    <t>Summe KW 51</t>
  </si>
  <si>
    <t>Summe KW 52</t>
  </si>
  <si>
    <t>Kalenderwoche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</si>
</sst>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/m;@"/>
    <numFmt numFmtId="165" formatCode="h:mm;@"/>
    <numFmt numFmtId="166" formatCode="#,##0_ ;[Red]\-#,##0\ "/>
    <numFmt numFmtId="167" formatCode="dddd"/>
    <numFmt numFmtId="168" formatCode="0_ ;[Red]\-0\ "/>
    <numFmt numFmtId="169" formatCode="ddd"/>
    <numFmt numFmtId="170" formatCode="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Dash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Dashed">
        <color indexed="64"/>
      </bottom>
      <diagonal/>
    </border>
    <border>
      <left style="thick">
        <color indexed="64"/>
      </left>
      <right style="thin">
        <color indexed="64"/>
      </right>
      <top style="mediumDash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Dashed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Alignment="1" applyProtection="1">
      <alignment horizontal="right"/>
      <protection hidden="1"/>
    </xf>
    <xf numFmtId="0" fontId="0" fillId="0" borderId="0" xfId="0" applyProtection="1"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4" xfId="0" applyFont="1" applyBorder="1" applyAlignment="1" applyProtection="1">
      <alignment horizontal="right" vertical="center" wrapText="1"/>
      <protection hidden="1"/>
    </xf>
    <xf numFmtId="0" fontId="3" fillId="0" borderId="4" xfId="0" applyFont="1" applyBorder="1" applyAlignment="1" applyProtection="1">
      <alignment horizontal="right" vertical="center"/>
      <protection hidden="1"/>
    </xf>
    <xf numFmtId="14" fontId="0" fillId="0" borderId="0" xfId="0" applyNumberForma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2" fillId="2" borderId="4" xfId="0" applyFont="1" applyFill="1" applyBorder="1" applyAlignment="1" applyProtection="1">
      <alignment horizontal="right" vertical="center" wrapText="1"/>
      <protection hidden="1"/>
    </xf>
    <xf numFmtId="0" fontId="2" fillId="2" borderId="4" xfId="0" applyFont="1" applyFill="1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horizontal="right"/>
      <protection hidden="1"/>
    </xf>
    <xf numFmtId="0" fontId="0" fillId="6" borderId="4" xfId="0" applyFill="1" applyBorder="1" applyProtection="1">
      <protection hidden="1"/>
    </xf>
    <xf numFmtId="167" fontId="0" fillId="0" borderId="0" xfId="0" applyNumberFormat="1" applyProtection="1">
      <protection hidden="1"/>
    </xf>
    <xf numFmtId="168" fontId="0" fillId="0" borderId="0" xfId="0" applyNumberFormat="1" applyProtection="1"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hidden="1"/>
    </xf>
    <xf numFmtId="0" fontId="2" fillId="3" borderId="26" xfId="0" applyFont="1" applyFill="1" applyBorder="1" applyAlignment="1" applyProtection="1">
      <alignment horizontal="center" vertical="center"/>
      <protection hidden="1"/>
    </xf>
    <xf numFmtId="0" fontId="2" fillId="3" borderId="27" xfId="0" applyFont="1" applyFill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166" fontId="2" fillId="0" borderId="14" xfId="0" applyNumberFormat="1" applyFont="1" applyFill="1" applyBorder="1" applyAlignment="1" applyProtection="1">
      <alignment horizontal="center" vertical="center"/>
      <protection hidden="1"/>
    </xf>
    <xf numFmtId="166" fontId="2" fillId="3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0" fillId="0" borderId="15" xfId="0" applyFill="1" applyBorder="1" applyProtection="1"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166" fontId="2" fillId="0" borderId="17" xfId="0" applyNumberFormat="1" applyFont="1" applyFill="1" applyBorder="1" applyAlignment="1" applyProtection="1">
      <alignment horizontal="center" vertical="center"/>
      <protection hidden="1"/>
    </xf>
    <xf numFmtId="166" fontId="2" fillId="3" borderId="17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0" fillId="0" borderId="18" xfId="0" applyFill="1" applyBorder="1" applyProtection="1"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66" fontId="2" fillId="0" borderId="20" xfId="0" applyNumberFormat="1" applyFont="1" applyFill="1" applyBorder="1" applyAlignment="1" applyProtection="1">
      <alignment horizontal="center" vertical="center"/>
      <protection hidden="1"/>
    </xf>
    <xf numFmtId="166" fontId="2" fillId="3" borderId="20" xfId="0" applyNumberFormat="1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Protection="1"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22" xfId="0" applyFont="1" applyFill="1" applyBorder="1" applyAlignment="1" applyProtection="1">
      <alignment horizontal="center" vertical="center"/>
      <protection hidden="1"/>
    </xf>
    <xf numFmtId="164" fontId="2" fillId="0" borderId="20" xfId="0" quotePrefix="1" applyNumberFormat="1" applyFont="1" applyFill="1" applyBorder="1" applyAlignment="1" applyProtection="1">
      <alignment horizontal="center" vertical="center"/>
      <protection hidden="1"/>
    </xf>
    <xf numFmtId="165" fontId="2" fillId="0" borderId="20" xfId="0" applyNumberFormat="1" applyFont="1" applyFill="1" applyBorder="1" applyAlignment="1" applyProtection="1">
      <alignment horizontal="center" vertical="center"/>
      <protection hidden="1"/>
    </xf>
    <xf numFmtId="0" fontId="2" fillId="2" borderId="22" xfId="0" applyFont="1" applyFill="1" applyBorder="1" applyAlignment="1" applyProtection="1">
      <alignment horizontal="center"/>
      <protection hidden="1"/>
    </xf>
    <xf numFmtId="164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166" fontId="2" fillId="0" borderId="9" xfId="0" applyNumberFormat="1" applyFont="1" applyFill="1" applyBorder="1" applyAlignment="1" applyProtection="1">
      <alignment horizontal="center" vertical="center"/>
      <protection hidden="1"/>
    </xf>
    <xf numFmtId="166" fontId="2" fillId="3" borderId="9" xfId="0" applyNumberFormat="1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164" fontId="2" fillId="0" borderId="9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Protection="1"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166" fontId="4" fillId="2" borderId="4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0" fillId="0" borderId="23" xfId="0" applyBorder="1" applyAlignment="1" applyProtection="1">
      <protection hidden="1"/>
    </xf>
    <xf numFmtId="0" fontId="0" fillId="0" borderId="12" xfId="0" applyFill="1" applyBorder="1" applyProtection="1"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24" xfId="0" applyFont="1" applyFill="1" applyBorder="1" applyAlignment="1" applyProtection="1">
      <alignment horizontal="center" vertical="center"/>
      <protection hidden="1"/>
    </xf>
    <xf numFmtId="166" fontId="2" fillId="2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23" xfId="0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hidden="1"/>
    </xf>
    <xf numFmtId="166" fontId="1" fillId="4" borderId="4" xfId="0" applyNumberFormat="1" applyFont="1" applyFill="1" applyBorder="1" applyAlignment="1" applyProtection="1">
      <alignment horizontal="center"/>
      <protection hidden="1"/>
    </xf>
    <xf numFmtId="166" fontId="0" fillId="0" borderId="0" xfId="0" applyNumberFormat="1" applyProtection="1">
      <protection hidden="1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164" fontId="2" fillId="0" borderId="20" xfId="0" quotePrefix="1" applyNumberFormat="1" applyFont="1" applyFill="1" applyBorder="1" applyAlignment="1" applyProtection="1">
      <alignment horizontal="center" vertical="center"/>
      <protection locked="0"/>
    </xf>
    <xf numFmtId="165" fontId="2" fillId="0" borderId="20" xfId="0" applyNumberFormat="1" applyFont="1" applyFill="1" applyBorder="1" applyAlignment="1" applyProtection="1">
      <alignment horizontal="center" vertical="center"/>
      <protection locked="0"/>
    </xf>
    <xf numFmtId="16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166" fontId="2" fillId="6" borderId="14" xfId="0" applyNumberFormat="1" applyFont="1" applyFill="1" applyBorder="1" applyAlignment="1" applyProtection="1">
      <alignment horizontal="center" vertical="center"/>
      <protection locked="0"/>
    </xf>
    <xf numFmtId="166" fontId="2" fillId="6" borderId="17" xfId="0" applyNumberFormat="1" applyFont="1" applyFill="1" applyBorder="1" applyAlignment="1" applyProtection="1">
      <alignment horizontal="center" vertical="center"/>
      <protection locked="0"/>
    </xf>
    <xf numFmtId="166" fontId="2" fillId="6" borderId="20" xfId="0" applyNumberFormat="1" applyFont="1" applyFill="1" applyBorder="1" applyAlignment="1" applyProtection="1">
      <alignment horizontal="center" vertical="center"/>
      <protection locked="0"/>
    </xf>
    <xf numFmtId="166" fontId="2" fillId="6" borderId="9" xfId="0" applyNumberFormat="1" applyFont="1" applyFill="1" applyBorder="1" applyAlignment="1" applyProtection="1">
      <alignment horizontal="center" vertical="center"/>
      <protection locked="0"/>
    </xf>
    <xf numFmtId="166" fontId="4" fillId="2" borderId="28" xfId="0" applyNumberFormat="1" applyFont="1" applyFill="1" applyBorder="1" applyAlignment="1" applyProtection="1">
      <alignment horizontal="center"/>
      <protection hidden="1"/>
    </xf>
    <xf numFmtId="166" fontId="2" fillId="2" borderId="28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1" fillId="0" borderId="13" xfId="0" applyFont="1" applyBorder="1" applyAlignment="1" applyProtection="1">
      <alignment horizontal="right"/>
      <protection hidden="1"/>
    </xf>
    <xf numFmtId="0" fontId="1" fillId="0" borderId="14" xfId="0" applyFont="1" applyBorder="1" applyAlignment="1" applyProtection="1">
      <alignment horizontal="right"/>
      <protection hidden="1"/>
    </xf>
    <xf numFmtId="0" fontId="1" fillId="0" borderId="15" xfId="0" applyFont="1" applyBorder="1" applyAlignment="1" applyProtection="1">
      <alignment horizontal="right"/>
      <protection hidden="1"/>
    </xf>
    <xf numFmtId="14" fontId="0" fillId="0" borderId="16" xfId="0" applyNumberFormat="1" applyBorder="1" applyProtection="1">
      <protection hidden="1"/>
    </xf>
    <xf numFmtId="169" fontId="0" fillId="0" borderId="17" xfId="0" applyNumberFormat="1" applyBorder="1" applyProtection="1">
      <protection hidden="1"/>
    </xf>
    <xf numFmtId="0" fontId="0" fillId="0" borderId="17" xfId="0" applyBorder="1" applyProtection="1">
      <protection hidden="1"/>
    </xf>
    <xf numFmtId="166" fontId="0" fillId="0" borderId="18" xfId="0" applyNumberFormat="1" applyBorder="1" applyProtection="1">
      <protection hidden="1"/>
    </xf>
    <xf numFmtId="166" fontId="0" fillId="0" borderId="21" xfId="0" applyNumberFormat="1" applyBorder="1" applyProtection="1">
      <protection hidden="1"/>
    </xf>
    <xf numFmtId="14" fontId="0" fillId="0" borderId="30" xfId="0" applyNumberFormat="1" applyBorder="1" applyProtection="1">
      <protection hidden="1"/>
    </xf>
    <xf numFmtId="169" fontId="0" fillId="0" borderId="31" xfId="0" applyNumberFormat="1" applyBorder="1" applyProtection="1">
      <protection hidden="1"/>
    </xf>
    <xf numFmtId="0" fontId="0" fillId="0" borderId="31" xfId="0" applyBorder="1" applyProtection="1">
      <protection hidden="1"/>
    </xf>
    <xf numFmtId="166" fontId="0" fillId="0" borderId="32" xfId="0" applyNumberFormat="1" applyBorder="1" applyProtection="1">
      <protection hidden="1"/>
    </xf>
    <xf numFmtId="166" fontId="0" fillId="0" borderId="15" xfId="0" applyNumberFormat="1" applyBorder="1" applyProtection="1">
      <protection hidden="1"/>
    </xf>
    <xf numFmtId="0" fontId="1" fillId="0" borderId="16" xfId="0" applyFont="1" applyBorder="1" applyAlignment="1" applyProtection="1">
      <alignment horizontal="right"/>
      <protection hidden="1"/>
    </xf>
    <xf numFmtId="0" fontId="1" fillId="0" borderId="19" xfId="0" applyFont="1" applyBorder="1" applyAlignment="1" applyProtection="1">
      <alignment horizontal="right"/>
      <protection hidden="1"/>
    </xf>
    <xf numFmtId="14" fontId="5" fillId="2" borderId="0" xfId="0" applyNumberFormat="1" applyFont="1" applyFill="1" applyProtection="1">
      <protection hidden="1"/>
    </xf>
    <xf numFmtId="167" fontId="5" fillId="2" borderId="0" xfId="0" applyNumberFormat="1" applyFont="1" applyFill="1" applyProtection="1">
      <protection hidden="1"/>
    </xf>
    <xf numFmtId="166" fontId="1" fillId="0" borderId="0" xfId="0" applyNumberFormat="1" applyFont="1" applyAlignment="1" applyProtection="1">
      <alignment horizontal="right"/>
      <protection hidden="1"/>
    </xf>
    <xf numFmtId="166" fontId="0" fillId="6" borderId="18" xfId="0" applyNumberFormat="1" applyFill="1" applyBorder="1" applyProtection="1">
      <protection hidden="1"/>
    </xf>
    <xf numFmtId="166" fontId="0" fillId="6" borderId="32" xfId="0" applyNumberFormat="1" applyFill="1" applyBorder="1" applyProtection="1">
      <protection hidden="1"/>
    </xf>
    <xf numFmtId="0" fontId="1" fillId="0" borderId="25" xfId="0" applyFont="1" applyBorder="1" applyAlignment="1" applyProtection="1">
      <alignment horizontal="right"/>
      <protection hidden="1"/>
    </xf>
    <xf numFmtId="0" fontId="1" fillId="0" borderId="26" xfId="0" applyFont="1" applyBorder="1" applyAlignment="1" applyProtection="1">
      <alignment horizontal="right"/>
      <protection hidden="1"/>
    </xf>
    <xf numFmtId="0" fontId="1" fillId="0" borderId="27" xfId="0" applyFont="1" applyBorder="1" applyAlignment="1" applyProtection="1">
      <alignment horizontal="right"/>
      <protection hidden="1"/>
    </xf>
    <xf numFmtId="14" fontId="0" fillId="0" borderId="13" xfId="0" applyNumberFormat="1" applyBorder="1" applyProtection="1">
      <protection hidden="1"/>
    </xf>
    <xf numFmtId="169" fontId="0" fillId="0" borderId="14" xfId="0" applyNumberFormat="1" applyBorder="1" applyProtection="1">
      <protection hidden="1"/>
    </xf>
    <xf numFmtId="0" fontId="0" fillId="0" borderId="14" xfId="0" applyBorder="1" applyProtection="1">
      <protection hidden="1"/>
    </xf>
    <xf numFmtId="166" fontId="1" fillId="5" borderId="4" xfId="0" applyNumberFormat="1" applyFont="1" applyFill="1" applyBorder="1" applyAlignment="1" applyProtection="1">
      <alignment horizontal="center"/>
      <protection hidden="1"/>
    </xf>
    <xf numFmtId="166" fontId="1" fillId="5" borderId="37" xfId="0" applyNumberFormat="1" applyFont="1" applyFill="1" applyBorder="1" applyAlignment="1" applyProtection="1">
      <alignment horizontal="center"/>
      <protection hidden="1"/>
    </xf>
    <xf numFmtId="166" fontId="1" fillId="5" borderId="38" xfId="0" applyNumberFormat="1" applyFont="1" applyFill="1" applyBorder="1" applyAlignment="1" applyProtection="1">
      <alignment horizontal="center"/>
      <protection hidden="1"/>
    </xf>
    <xf numFmtId="166" fontId="1" fillId="5" borderId="39" xfId="0" applyNumberFormat="1" applyFont="1" applyFill="1" applyBorder="1" applyAlignment="1" applyProtection="1">
      <alignment horizontal="center"/>
      <protection hidden="1"/>
    </xf>
    <xf numFmtId="166" fontId="2" fillId="3" borderId="34" xfId="0" applyNumberFormat="1" applyFont="1" applyFill="1" applyBorder="1" applyAlignment="1" applyProtection="1">
      <alignment horizontal="center" vertical="center"/>
      <protection locked="0"/>
    </xf>
    <xf numFmtId="166" fontId="2" fillId="3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0" fontId="1" fillId="0" borderId="42" xfId="0" applyFont="1" applyBorder="1" applyAlignment="1" applyProtection="1">
      <alignment horizontal="right"/>
      <protection hidden="1"/>
    </xf>
    <xf numFmtId="0" fontId="1" fillId="0" borderId="43" xfId="0" applyFont="1" applyBorder="1" applyAlignment="1" applyProtection="1">
      <alignment horizontal="right"/>
      <protection hidden="1"/>
    </xf>
    <xf numFmtId="0" fontId="1" fillId="0" borderId="44" xfId="0" applyFont="1" applyBorder="1" applyAlignment="1" applyProtection="1">
      <alignment horizontal="right"/>
      <protection hidden="1"/>
    </xf>
    <xf numFmtId="166" fontId="0" fillId="0" borderId="45" xfId="0" applyNumberFormat="1" applyBorder="1" applyProtection="1">
      <protection hidden="1"/>
    </xf>
    <xf numFmtId="166" fontId="0" fillId="0" borderId="46" xfId="0" applyNumberFormat="1" applyBorder="1" applyProtection="1">
      <protection hidden="1"/>
    </xf>
    <xf numFmtId="166" fontId="0" fillId="0" borderId="47" xfId="0" applyNumberFormat="1" applyBorder="1" applyProtection="1">
      <protection hidden="1"/>
    </xf>
    <xf numFmtId="14" fontId="0" fillId="0" borderId="0" xfId="0" applyNumberFormat="1"/>
    <xf numFmtId="14" fontId="0" fillId="0" borderId="0" xfId="0" applyNumberFormat="1" applyAlignment="1">
      <alignment vertical="center"/>
    </xf>
    <xf numFmtId="169" fontId="0" fillId="0" borderId="0" xfId="0" applyNumberFormat="1" applyProtection="1">
      <protection hidden="1"/>
    </xf>
    <xf numFmtId="0" fontId="5" fillId="0" borderId="0" xfId="0" applyFont="1" applyProtection="1">
      <protection hidden="1"/>
    </xf>
    <xf numFmtId="170" fontId="0" fillId="0" borderId="0" xfId="0" applyNumberFormat="1" applyProtection="1">
      <protection hidden="1"/>
    </xf>
    <xf numFmtId="1" fontId="0" fillId="5" borderId="0" xfId="0" applyNumberFormat="1" applyFill="1" applyProtection="1">
      <protection hidden="1"/>
    </xf>
    <xf numFmtId="1" fontId="0" fillId="0" borderId="0" xfId="0" applyNumberFormat="1" applyFont="1" applyProtection="1">
      <protection hidden="1"/>
    </xf>
    <xf numFmtId="14" fontId="5" fillId="0" borderId="0" xfId="0" applyNumberFormat="1" applyFont="1" applyProtection="1">
      <protection hidden="1"/>
    </xf>
    <xf numFmtId="168" fontId="5" fillId="0" borderId="0" xfId="0" applyNumberFormat="1" applyFont="1" applyProtection="1">
      <protection hidden="1"/>
    </xf>
    <xf numFmtId="1" fontId="5" fillId="0" borderId="0" xfId="0" applyNumberFormat="1" applyFont="1" applyProtection="1">
      <protection hidden="1"/>
    </xf>
    <xf numFmtId="166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6" borderId="22" xfId="0" applyFont="1" applyFill="1" applyBorder="1" applyAlignment="1" applyProtection="1">
      <alignment horizontal="center" vertical="center"/>
      <protection hidden="1"/>
    </xf>
    <xf numFmtId="0" fontId="0" fillId="6" borderId="0" xfId="0" applyFill="1" applyAlignment="1" applyProtection="1">
      <protection hidden="1"/>
    </xf>
    <xf numFmtId="0" fontId="0" fillId="6" borderId="0" xfId="0" applyFill="1" applyProtection="1">
      <protection hidden="1"/>
    </xf>
    <xf numFmtId="166" fontId="0" fillId="5" borderId="4" xfId="0" applyNumberFormat="1" applyFill="1" applyBorder="1" applyProtection="1">
      <protection hidden="1"/>
    </xf>
    <xf numFmtId="166" fontId="2" fillId="2" borderId="4" xfId="0" applyNumberFormat="1" applyFont="1" applyFill="1" applyBorder="1" applyAlignment="1" applyProtection="1">
      <alignment horizontal="right" vertical="center"/>
      <protection hidden="1"/>
    </xf>
    <xf numFmtId="166" fontId="0" fillId="0" borderId="4" xfId="0" applyNumberFormat="1" applyBorder="1" applyProtection="1">
      <protection hidden="1"/>
    </xf>
    <xf numFmtId="166" fontId="0" fillId="5" borderId="41" xfId="0" applyNumberFormat="1" applyFill="1" applyBorder="1" applyProtection="1">
      <protection hidden="1"/>
    </xf>
    <xf numFmtId="166" fontId="2" fillId="0" borderId="14" xfId="0" applyNumberFormat="1" applyFont="1" applyBorder="1" applyAlignment="1" applyProtection="1">
      <alignment horizontal="center" vertical="center"/>
      <protection hidden="1"/>
    </xf>
    <xf numFmtId="166" fontId="2" fillId="0" borderId="17" xfId="0" applyNumberFormat="1" applyFont="1" applyBorder="1" applyAlignment="1" applyProtection="1">
      <alignment horizontal="center" vertical="center"/>
      <protection hidden="1"/>
    </xf>
    <xf numFmtId="166" fontId="2" fillId="0" borderId="20" xfId="0" applyNumberFormat="1" applyFont="1" applyBorder="1" applyAlignment="1" applyProtection="1">
      <alignment horizontal="center" vertical="center"/>
      <protection hidden="1"/>
    </xf>
    <xf numFmtId="166" fontId="2" fillId="2" borderId="22" xfId="0" applyNumberFormat="1" applyFont="1" applyFill="1" applyBorder="1" applyAlignment="1" applyProtection="1">
      <alignment horizontal="center" vertical="center"/>
      <protection hidden="1"/>
    </xf>
    <xf numFmtId="166" fontId="2" fillId="2" borderId="22" xfId="0" applyNumberFormat="1" applyFont="1" applyFill="1" applyBorder="1" applyAlignment="1" applyProtection="1">
      <alignment horizontal="center"/>
      <protection hidden="1"/>
    </xf>
    <xf numFmtId="166" fontId="2" fillId="0" borderId="9" xfId="0" applyNumberFormat="1" applyFont="1" applyBorder="1" applyAlignment="1" applyProtection="1">
      <alignment horizontal="center" vertical="center"/>
      <protection hidden="1"/>
    </xf>
    <xf numFmtId="166" fontId="2" fillId="2" borderId="4" xfId="0" applyNumberFormat="1" applyFont="1" applyFill="1" applyBorder="1" applyAlignment="1" applyProtection="1">
      <alignment horizontal="center"/>
      <protection hidden="1"/>
    </xf>
    <xf numFmtId="166" fontId="0" fillId="0" borderId="0" xfId="0" applyNumberFormat="1" applyAlignment="1" applyProtection="1">
      <protection hidden="1"/>
    </xf>
    <xf numFmtId="166" fontId="2" fillId="0" borderId="9" xfId="0" applyNumberFormat="1" applyFont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 horizontal="center"/>
      <protection hidden="1"/>
    </xf>
    <xf numFmtId="166" fontId="2" fillId="0" borderId="36" xfId="0" applyNumberFormat="1" applyFont="1" applyFill="1" applyBorder="1" applyAlignment="1" applyProtection="1">
      <alignment horizontal="center" vertical="center"/>
      <protection hidden="1"/>
    </xf>
    <xf numFmtId="166" fontId="2" fillId="2" borderId="24" xfId="0" applyNumberFormat="1" applyFont="1" applyFill="1" applyBorder="1" applyAlignment="1" applyProtection="1">
      <alignment horizontal="center" vertical="center"/>
      <protection hidden="1"/>
    </xf>
    <xf numFmtId="166" fontId="2" fillId="2" borderId="24" xfId="0" applyNumberFormat="1" applyFont="1" applyFill="1" applyBorder="1" applyAlignment="1" applyProtection="1">
      <alignment horizontal="center"/>
      <protection hidden="1"/>
    </xf>
    <xf numFmtId="166" fontId="2" fillId="0" borderId="26" xfId="0" applyNumberFormat="1" applyFont="1" applyBorder="1" applyAlignment="1" applyProtection="1">
      <alignment horizontal="center" vertical="center"/>
      <protection hidden="1"/>
    </xf>
    <xf numFmtId="166" fontId="2" fillId="0" borderId="29" xfId="0" applyNumberFormat="1" applyFont="1" applyBorder="1" applyAlignment="1" applyProtection="1">
      <alignment horizontal="center" vertical="center"/>
      <protection hidden="1"/>
    </xf>
    <xf numFmtId="14" fontId="0" fillId="6" borderId="16" xfId="0" applyNumberFormat="1" applyFill="1" applyBorder="1" applyProtection="1">
      <protection hidden="1"/>
    </xf>
    <xf numFmtId="169" fontId="0" fillId="6" borderId="17" xfId="0" applyNumberFormat="1" applyFill="1" applyBorder="1" applyProtection="1">
      <protection hidden="1"/>
    </xf>
    <xf numFmtId="0" fontId="0" fillId="6" borderId="17" xfId="0" applyFill="1" applyBorder="1" applyProtection="1">
      <protection hidden="1"/>
    </xf>
    <xf numFmtId="14" fontId="0" fillId="6" borderId="16" xfId="0" applyNumberFormat="1" applyFont="1" applyFill="1" applyBorder="1" applyProtection="1">
      <protection hidden="1"/>
    </xf>
    <xf numFmtId="169" fontId="0" fillId="6" borderId="17" xfId="0" applyNumberFormat="1" applyFont="1" applyFill="1" applyBorder="1" applyProtection="1">
      <protection hidden="1"/>
    </xf>
    <xf numFmtId="0" fontId="0" fillId="6" borderId="17" xfId="0" applyFont="1" applyFill="1" applyBorder="1" applyProtection="1">
      <protection hidden="1"/>
    </xf>
    <xf numFmtId="166" fontId="0" fillId="6" borderId="18" xfId="0" applyNumberFormat="1" applyFont="1" applyFill="1" applyBorder="1" applyProtection="1">
      <protection hidden="1"/>
    </xf>
    <xf numFmtId="166" fontId="0" fillId="6" borderId="33" xfId="0" applyNumberFormat="1" applyFill="1" applyBorder="1" applyProtection="1">
      <protection hidden="1"/>
    </xf>
    <xf numFmtId="166" fontId="2" fillId="2" borderId="23" xfId="0" applyNumberFormat="1" applyFont="1" applyFill="1" applyBorder="1" applyAlignment="1" applyProtection="1">
      <alignment horizontal="center" vertical="center"/>
      <protection hidden="1"/>
    </xf>
    <xf numFmtId="166" fontId="2" fillId="6" borderId="50" xfId="0" applyNumberFormat="1" applyFont="1" applyFill="1" applyBorder="1" applyAlignment="1" applyProtection="1">
      <alignment horizontal="center" vertical="center"/>
      <protection locked="0"/>
    </xf>
    <xf numFmtId="166" fontId="2" fillId="6" borderId="51" xfId="0" applyNumberFormat="1" applyFont="1" applyFill="1" applyBorder="1" applyAlignment="1" applyProtection="1">
      <alignment horizontal="center" vertical="center"/>
      <protection locked="0"/>
    </xf>
    <xf numFmtId="166" fontId="2" fillId="6" borderId="52" xfId="0" applyNumberFormat="1" applyFont="1" applyFill="1" applyBorder="1" applyAlignment="1" applyProtection="1">
      <alignment horizontal="center" vertical="center"/>
      <protection locked="0"/>
    </xf>
    <xf numFmtId="166" fontId="2" fillId="6" borderId="13" xfId="0" applyNumberFormat="1" applyFont="1" applyFill="1" applyBorder="1" applyAlignment="1" applyProtection="1">
      <alignment horizontal="center" vertical="center"/>
      <protection locked="0"/>
    </xf>
    <xf numFmtId="166" fontId="2" fillId="6" borderId="15" xfId="0" applyNumberFormat="1" applyFont="1" applyFill="1" applyBorder="1" applyAlignment="1" applyProtection="1">
      <alignment horizontal="center" vertical="center"/>
      <protection locked="0"/>
    </xf>
    <xf numFmtId="166" fontId="2" fillId="6" borderId="19" xfId="0" applyNumberFormat="1" applyFont="1" applyFill="1" applyBorder="1" applyAlignment="1" applyProtection="1">
      <alignment horizontal="center" vertical="center"/>
      <protection locked="0"/>
    </xf>
    <xf numFmtId="166" fontId="2" fillId="6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protection hidden="1"/>
    </xf>
    <xf numFmtId="166" fontId="2" fillId="0" borderId="48" xfId="0" applyNumberFormat="1" applyFont="1" applyBorder="1" applyAlignment="1" applyProtection="1">
      <alignment horizontal="center" vertical="center"/>
      <protection hidden="1"/>
    </xf>
    <xf numFmtId="166" fontId="2" fillId="0" borderId="53" xfId="0" applyNumberFormat="1" applyFont="1" applyBorder="1" applyAlignment="1" applyProtection="1">
      <alignment horizontal="center" vertical="center"/>
      <protection hidden="1"/>
    </xf>
    <xf numFmtId="166" fontId="2" fillId="0" borderId="49" xfId="0" applyNumberFormat="1" applyFont="1" applyBorder="1" applyAlignment="1" applyProtection="1">
      <alignment horizontal="center" vertical="center"/>
      <protection hidden="1"/>
    </xf>
    <xf numFmtId="166" fontId="2" fillId="0" borderId="54" xfId="0" applyNumberFormat="1" applyFont="1" applyBorder="1" applyAlignment="1" applyProtection="1">
      <alignment horizontal="center" vertical="center"/>
      <protection hidden="1"/>
    </xf>
    <xf numFmtId="166" fontId="2" fillId="6" borderId="55" xfId="0" applyNumberFormat="1" applyFont="1" applyFill="1" applyBorder="1" applyAlignment="1" applyProtection="1">
      <alignment horizontal="center" vertical="center"/>
      <protection locked="0"/>
    </xf>
    <xf numFmtId="166" fontId="2" fillId="6" borderId="56" xfId="0" applyNumberFormat="1" applyFont="1" applyFill="1" applyBorder="1" applyAlignment="1" applyProtection="1">
      <alignment horizontal="center" vertical="center"/>
      <protection locked="0"/>
    </xf>
    <xf numFmtId="166" fontId="2" fillId="6" borderId="16" xfId="0" applyNumberFormat="1" applyFont="1" applyFill="1" applyBorder="1" applyAlignment="1" applyProtection="1">
      <alignment horizontal="center" vertical="center"/>
      <protection locked="0"/>
    </xf>
    <xf numFmtId="166" fontId="2" fillId="6" borderId="18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quotePrefix="1" applyNumberFormat="1" applyProtection="1"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166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166" fontId="2" fillId="2" borderId="7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Standard" xfId="0" builtinId="0"/>
  </cellStyles>
  <dxfs count="1174"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rgb="FF5B9BD5"/>
        </patternFill>
      </fill>
    </dxf>
    <dxf>
      <fill>
        <patternFill>
          <bgColor rgb="FF000000"/>
        </patternFill>
      </fill>
    </dxf>
    <dxf>
      <fill>
        <patternFill>
          <bgColor theme="8" tint="0.39994506668294322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8" tint="0.39994506668294322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J36"/>
  <sheetViews>
    <sheetView workbookViewId="0"/>
  </sheetViews>
  <sheetFormatPr baseColWidth="10" defaultColWidth="10.5703125" defaultRowHeight="15" x14ac:dyDescent="0.25"/>
  <cols>
    <col min="1" max="1" width="22.42578125" style="1" bestFit="1" customWidth="1"/>
    <col min="2" max="4" width="10.5703125" style="2"/>
    <col min="5" max="5" width="8" style="2" customWidth="1"/>
    <col min="6" max="6" width="10.5703125" style="2"/>
    <col min="7" max="7" width="22" style="2" bestFit="1" customWidth="1"/>
    <col min="8" max="8" width="15" style="2" bestFit="1" customWidth="1"/>
    <col min="9" max="16384" width="10.5703125" style="2"/>
  </cols>
  <sheetData>
    <row r="1" spans="1:10" x14ac:dyDescent="0.25">
      <c r="A1" s="1" t="s">
        <v>19</v>
      </c>
      <c r="B1" s="121">
        <v>2021</v>
      </c>
      <c r="F1" s="7" t="s">
        <v>40</v>
      </c>
      <c r="G1" s="7" t="s">
        <v>22</v>
      </c>
      <c r="H1" s="116" t="s">
        <v>131</v>
      </c>
      <c r="J1" s="2" t="s">
        <v>48</v>
      </c>
    </row>
    <row r="2" spans="1:10" x14ac:dyDescent="0.25">
      <c r="B2" s="6">
        <f>DATE(B1,1,1)</f>
        <v>44197</v>
      </c>
      <c r="F2" s="6">
        <f>F3-1</f>
        <v>44189</v>
      </c>
      <c r="G2" s="1" t="s">
        <v>32</v>
      </c>
      <c r="H2" s="2">
        <v>1</v>
      </c>
      <c r="I2" s="117">
        <f>DATE(B1,1,1)-WEEKDAY(DATE(B1,1,1),2)+1+((H2+IF(WEEKDAY(DATE(B1,1,1),2)&gt;4,0,-1))*7)</f>
        <v>44200</v>
      </c>
      <c r="J2" s="118">
        <f>I2</f>
        <v>44200</v>
      </c>
    </row>
    <row r="3" spans="1:10" ht="15.75" thickBot="1" x14ac:dyDescent="0.3">
      <c r="B3" s="120">
        <f>B2</f>
        <v>44197</v>
      </c>
      <c r="F3" s="6">
        <f>F4-1</f>
        <v>44190</v>
      </c>
      <c r="G3" s="1" t="s">
        <v>34</v>
      </c>
    </row>
    <row r="4" spans="1:10" ht="15.75" thickBot="1" x14ac:dyDescent="0.3">
      <c r="A4" s="8" t="s">
        <v>20</v>
      </c>
      <c r="B4" s="11"/>
      <c r="F4" s="6">
        <f>F5-5</f>
        <v>44191</v>
      </c>
      <c r="G4" s="1" t="s">
        <v>33</v>
      </c>
    </row>
    <row r="5" spans="1:10" ht="15.75" thickBot="1" x14ac:dyDescent="0.3">
      <c r="A5" s="3" t="s">
        <v>41</v>
      </c>
      <c r="B5" s="130">
        <v>0</v>
      </c>
      <c r="F5" s="175">
        <f>F6-1</f>
        <v>44196</v>
      </c>
      <c r="G5" s="1" t="s">
        <v>35</v>
      </c>
    </row>
    <row r="6" spans="1:10" ht="15.75" thickBot="1" x14ac:dyDescent="0.3">
      <c r="A6" s="3" t="s">
        <v>42</v>
      </c>
      <c r="B6" s="130">
        <v>0</v>
      </c>
      <c r="F6" s="6">
        <f>DATE($B$1,1,1)</f>
        <v>44197</v>
      </c>
      <c r="G6" s="1" t="s">
        <v>23</v>
      </c>
      <c r="H6" s="6"/>
    </row>
    <row r="7" spans="1:10" ht="15.75" thickBot="1" x14ac:dyDescent="0.3">
      <c r="A7" s="3" t="s">
        <v>8</v>
      </c>
      <c r="B7" s="130">
        <v>0</v>
      </c>
      <c r="F7" s="6">
        <f>F10-48</f>
        <v>44242</v>
      </c>
      <c r="G7" s="1" t="s">
        <v>38</v>
      </c>
    </row>
    <row r="8" spans="1:10" ht="15.75" thickBot="1" x14ac:dyDescent="0.3">
      <c r="A8" s="9"/>
      <c r="B8" s="131"/>
      <c r="F8" s="6">
        <f>F10-46</f>
        <v>44244</v>
      </c>
      <c r="G8" s="1" t="s">
        <v>39</v>
      </c>
    </row>
    <row r="9" spans="1:10" ht="15.75" thickBot="1" x14ac:dyDescent="0.3">
      <c r="A9" s="3" t="s">
        <v>9</v>
      </c>
      <c r="B9" s="130">
        <v>0</v>
      </c>
      <c r="F9" s="6">
        <f>$F$10-2</f>
        <v>44288</v>
      </c>
      <c r="G9" s="1" t="s">
        <v>24</v>
      </c>
    </row>
    <row r="10" spans="1:10" ht="15.75" thickBot="1" x14ac:dyDescent="0.3">
      <c r="A10" s="3" t="s">
        <v>43</v>
      </c>
      <c r="B10" s="130">
        <v>0</v>
      </c>
      <c r="F10" s="6">
        <f>DATE(B1,3,28)+MOD(24-MOD(B1,19)*10.63,29)-MOD(TRUNC(B1*5/4)+MOD(24-MOD(B1,19)*10.63,29)+1,7)</f>
        <v>44290</v>
      </c>
      <c r="G10" s="1" t="s">
        <v>36</v>
      </c>
    </row>
    <row r="11" spans="1:10" ht="15.75" thickBot="1" x14ac:dyDescent="0.3">
      <c r="A11" s="3" t="s">
        <v>10</v>
      </c>
      <c r="B11" s="130">
        <v>2</v>
      </c>
      <c r="F11" s="6">
        <f>$F$10+1</f>
        <v>44291</v>
      </c>
      <c r="G11" s="1" t="s">
        <v>25</v>
      </c>
    </row>
    <row r="12" spans="1:10" ht="15.75" thickBot="1" x14ac:dyDescent="0.3">
      <c r="A12" s="3" t="s">
        <v>11</v>
      </c>
      <c r="B12" s="130">
        <v>0</v>
      </c>
      <c r="F12" s="6">
        <f>DATE($B$1,5,1)</f>
        <v>44317</v>
      </c>
      <c r="G12" s="1" t="s">
        <v>26</v>
      </c>
    </row>
    <row r="13" spans="1:10" ht="15.75" thickBot="1" x14ac:dyDescent="0.3">
      <c r="A13" s="9"/>
      <c r="B13" s="131"/>
      <c r="F13" s="6">
        <f>$F$10+39</f>
        <v>44329</v>
      </c>
      <c r="G13" s="1" t="s">
        <v>27</v>
      </c>
    </row>
    <row r="14" spans="1:10" ht="15.75" thickBot="1" x14ac:dyDescent="0.3">
      <c r="A14" s="3" t="s">
        <v>60</v>
      </c>
      <c r="B14" s="130">
        <v>0</v>
      </c>
      <c r="F14" s="6">
        <f>$F$10+49</f>
        <v>44339</v>
      </c>
      <c r="G14" s="1" t="s">
        <v>37</v>
      </c>
    </row>
    <row r="15" spans="1:10" ht="15.75" thickBot="1" x14ac:dyDescent="0.3">
      <c r="A15" s="4" t="s">
        <v>12</v>
      </c>
      <c r="B15" s="130">
        <v>0</v>
      </c>
      <c r="F15" s="6">
        <f>$F$10+50</f>
        <v>44340</v>
      </c>
      <c r="G15" s="1" t="s">
        <v>28</v>
      </c>
    </row>
    <row r="16" spans="1:10" ht="15.75" thickBot="1" x14ac:dyDescent="0.3">
      <c r="A16" s="9"/>
      <c r="B16" s="131"/>
      <c r="F16" s="6">
        <f>$F$10+60</f>
        <v>44350</v>
      </c>
      <c r="G16" s="1" t="s">
        <v>29</v>
      </c>
    </row>
    <row r="17" spans="1:7" ht="15.75" thickBot="1" x14ac:dyDescent="0.3">
      <c r="A17" s="5"/>
      <c r="B17" s="131"/>
      <c r="F17" s="6">
        <f>DATE($B$1,10,3)</f>
        <v>44472</v>
      </c>
      <c r="G17" s="1" t="s">
        <v>30</v>
      </c>
    </row>
    <row r="18" spans="1:7" ht="15.75" thickBot="1" x14ac:dyDescent="0.3">
      <c r="A18" s="9" t="s">
        <v>13</v>
      </c>
      <c r="B18" s="131"/>
      <c r="F18" s="6">
        <f>DATE($B$1,11,1)</f>
        <v>44501</v>
      </c>
      <c r="G18" s="1" t="s">
        <v>31</v>
      </c>
    </row>
    <row r="19" spans="1:7" ht="15.75" thickBot="1" x14ac:dyDescent="0.3">
      <c r="A19" s="10"/>
      <c r="B19" s="132"/>
      <c r="F19" s="6">
        <f>DATE($B$1,12,24)</f>
        <v>44554</v>
      </c>
      <c r="G19" s="1" t="s">
        <v>32</v>
      </c>
    </row>
    <row r="20" spans="1:7" ht="15.75" thickBot="1" x14ac:dyDescent="0.3">
      <c r="A20" s="3" t="s">
        <v>7</v>
      </c>
      <c r="B20" s="130">
        <v>0</v>
      </c>
      <c r="F20" s="6">
        <f>DATE($B$1,12,25)</f>
        <v>44555</v>
      </c>
      <c r="G20" s="1" t="s">
        <v>34</v>
      </c>
    </row>
    <row r="21" spans="1:7" ht="15.75" thickBot="1" x14ac:dyDescent="0.3">
      <c r="A21" s="9"/>
      <c r="B21" s="131"/>
      <c r="F21" s="6">
        <f>DATE($B$1,12,26)</f>
        <v>44556</v>
      </c>
      <c r="G21" s="1" t="s">
        <v>33</v>
      </c>
    </row>
    <row r="22" spans="1:7" ht="15.75" thickBot="1" x14ac:dyDescent="0.3">
      <c r="A22" s="3" t="s">
        <v>44</v>
      </c>
      <c r="B22" s="130">
        <v>0</v>
      </c>
      <c r="F22" s="6">
        <f>DATE($B$1,12,31)</f>
        <v>44561</v>
      </c>
      <c r="G22" s="1" t="s">
        <v>35</v>
      </c>
    </row>
    <row r="23" spans="1:7" ht="15.75" thickBot="1" x14ac:dyDescent="0.3">
      <c r="A23" s="3" t="s">
        <v>45</v>
      </c>
      <c r="B23" s="130">
        <v>0</v>
      </c>
      <c r="F23" s="6">
        <f>F22+1</f>
        <v>44562</v>
      </c>
      <c r="G23" s="1" t="s">
        <v>23</v>
      </c>
    </row>
    <row r="24" spans="1:7" ht="15.75" thickBot="1" x14ac:dyDescent="0.3">
      <c r="A24" s="3" t="s">
        <v>17</v>
      </c>
      <c r="B24" s="130">
        <v>0</v>
      </c>
    </row>
    <row r="25" spans="1:7" ht="15.75" thickBot="1" x14ac:dyDescent="0.3">
      <c r="A25" s="9"/>
      <c r="B25" s="131"/>
    </row>
    <row r="26" spans="1:7" ht="15.75" thickBot="1" x14ac:dyDescent="0.3">
      <c r="A26" s="3" t="s">
        <v>14</v>
      </c>
      <c r="B26" s="130">
        <v>1</v>
      </c>
    </row>
    <row r="27" spans="1:7" ht="15.75" thickBot="1" x14ac:dyDescent="0.3">
      <c r="A27" s="10" t="s">
        <v>15</v>
      </c>
      <c r="B27" s="130">
        <v>48</v>
      </c>
    </row>
    <row r="28" spans="1:7" ht="15.75" thickBot="1" x14ac:dyDescent="0.3">
      <c r="A28" s="10" t="s">
        <v>16</v>
      </c>
      <c r="B28" s="130">
        <v>7</v>
      </c>
    </row>
    <row r="29" spans="1:7" ht="15.75" thickBot="1" x14ac:dyDescent="0.3">
      <c r="A29" s="9"/>
      <c r="B29" s="131"/>
    </row>
    <row r="30" spans="1:7" ht="15.75" thickBot="1" x14ac:dyDescent="0.3">
      <c r="A30" s="10" t="s">
        <v>46</v>
      </c>
      <c r="B30" s="130">
        <v>0</v>
      </c>
    </row>
    <row r="31" spans="1:7" x14ac:dyDescent="0.25">
      <c r="B31" s="59"/>
    </row>
    <row r="32" spans="1:7" x14ac:dyDescent="0.25">
      <c r="B32" s="59"/>
    </row>
    <row r="33" spans="1:2" x14ac:dyDescent="0.25">
      <c r="B33" s="59"/>
    </row>
    <row r="34" spans="1:2" ht="15.75" thickBot="1" x14ac:dyDescent="0.3">
      <c r="B34" s="59"/>
    </row>
    <row r="35" spans="1:2" ht="16.5" thickTop="1" thickBot="1" x14ac:dyDescent="0.3">
      <c r="A35" s="108" t="s">
        <v>109</v>
      </c>
      <c r="B35" s="133">
        <v>1496</v>
      </c>
    </row>
    <row r="36" spans="1:2" ht="15.75" thickTop="1" x14ac:dyDescent="0.25"/>
  </sheetData>
  <sheetProtection selectLockedCells="1"/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/>
  <dimension ref="A1:U37"/>
  <sheetViews>
    <sheetView zoomScaleNormal="100"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2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B1" s="12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B2" s="13"/>
      <c r="C2" s="122">
        <f>YEAR(C3)</f>
        <v>2021</v>
      </c>
      <c r="D2" s="119" t="str">
        <f>IFERROR(VLOOKUP(C3,Start!$F$2:$G$22,2,0),"")</f>
        <v>Rosenmontag</v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>Aschermittwoch</v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78" t="s">
        <v>20</v>
      </c>
      <c r="B3" s="178" t="s">
        <v>21</v>
      </c>
      <c r="C3" s="91">
        <f>'KW 1'!$C$3+42</f>
        <v>44242</v>
      </c>
      <c r="D3" s="92">
        <f>C3</f>
        <v>44242</v>
      </c>
      <c r="E3" s="91">
        <f>C3+1</f>
        <v>44243</v>
      </c>
      <c r="F3" s="92">
        <f>E3</f>
        <v>44243</v>
      </c>
      <c r="G3" s="91">
        <f>C3+2</f>
        <v>44244</v>
      </c>
      <c r="H3" s="92">
        <f>G3</f>
        <v>44244</v>
      </c>
      <c r="I3" s="91">
        <f>C3+3</f>
        <v>44245</v>
      </c>
      <c r="J3" s="92">
        <f>I3</f>
        <v>44245</v>
      </c>
      <c r="K3" s="91">
        <f>C3+4</f>
        <v>44246</v>
      </c>
      <c r="L3" s="92">
        <f>K3</f>
        <v>44246</v>
      </c>
      <c r="M3" s="91">
        <f>C3+5</f>
        <v>44247</v>
      </c>
      <c r="N3" s="92">
        <f>M3</f>
        <v>44247</v>
      </c>
      <c r="O3" s="91">
        <f>C3+6</f>
        <v>44248</v>
      </c>
      <c r="P3" s="92">
        <f>O3</f>
        <v>44248</v>
      </c>
      <c r="Q3" s="14" t="s">
        <v>0</v>
      </c>
      <c r="R3" s="15" t="s">
        <v>0</v>
      </c>
      <c r="S3" s="178" t="s">
        <v>1</v>
      </c>
      <c r="T3" s="178" t="s">
        <v>2</v>
      </c>
      <c r="U3" s="176" t="s">
        <v>4</v>
      </c>
    </row>
    <row r="4" spans="1:21" ht="15.75" thickBot="1" x14ac:dyDescent="0.3">
      <c r="A4" s="179"/>
      <c r="B4" s="17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77"/>
    </row>
    <row r="5" spans="1:21" x14ac:dyDescent="0.25">
      <c r="A5" s="19" t="str">
        <f>Start!A5</f>
        <v>Postbearbeitung Bestand</v>
      </c>
      <c r="B5" s="134">
        <f>'KW 6'!S5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5">
        <f>'KW 6'!S6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6">
        <f>'KW 6'!S7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46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4">
        <f>'KW 6'!S9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5">
        <f>'KW 6'!S10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5">
        <f>'KW 6'!S11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6">
        <f>'KW 6'!S12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47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ht="16.350000000000001" customHeight="1" x14ac:dyDescent="0.25">
      <c r="A14" s="19" t="str">
        <f>Start!A14</f>
        <v>Vorgängerinstitute</v>
      </c>
      <c r="B14" s="134">
        <f>'KW 6'!S14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6.350000000000001" customHeight="1" thickBot="1" x14ac:dyDescent="0.3">
      <c r="A15" s="29" t="str">
        <f>Start!A15</f>
        <v>Einfachaufträge</v>
      </c>
      <c r="B15" s="136">
        <f>'KW 6'!S15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16.350000000000001" hidden="1" customHeight="1" thickBot="1" x14ac:dyDescent="0.3">
      <c r="A16" s="34"/>
      <c r="B16" s="147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6.350000000000001" hidden="1" customHeight="1" thickBot="1" x14ac:dyDescent="0.3">
      <c r="A17" s="41">
        <f>Start!A17</f>
        <v>0</v>
      </c>
      <c r="B17" s="139">
        <f>'KW 6'!S17</f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73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39">
        <f>'KW 6'!S20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46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4">
        <f>'KW 6'!S22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>C22+E22+G22+I22+K22+M22+O22</f>
        <v>0</v>
      </c>
      <c r="R22" s="21">
        <f>D22+F22+H22+J22+L22+N22+P22</f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5">
        <f>'KW 6'!S23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ref="Q23:R23" si="12">C23+E23+G23+I23+K23+M23+O23</f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6">
        <f>'KW 6'!S24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>C24+E24+G24+I24+K24+M24+O24</f>
        <v>0</v>
      </c>
      <c r="R24" s="31">
        <f>D24+F24+H24+J24+L24+N24+P24</f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46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48">
        <f>'KW 6'!S26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5">
        <f>'KW 6'!S27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49">
        <f>'KW 6'!S28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39">
        <f>'KW 6'!S30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74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B32" s="144"/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>SUM(I22:I30)+I20+I18</f>
        <v>0</v>
      </c>
      <c r="J33" s="58">
        <f>SUM(J22:J30)+J20+J18</f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B34" s="144"/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4">
        <f>'KW 6'!S35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D30">
    <cfRule type="expression" dxfId="1007" priority="19" stopIfTrue="1">
      <formula>AND(NOT(OR(ISBLANK($A5),$A5="Summe ")),$C$1="altes Jahr")</formula>
    </cfRule>
    <cfRule type="expression" dxfId="1006" priority="21" stopIfTrue="1">
      <formula>AND(NOT(OR(ISBLANK($A5),$A5="Summe ")),WEEKDAY($C$3,2)&gt;5)</formula>
    </cfRule>
  </conditionalFormatting>
  <conditionalFormatting sqref="E5:F30">
    <cfRule type="expression" dxfId="1005" priority="16" stopIfTrue="1">
      <formula>AND(NOT(OR(ISBLANK($A5),$A5="Summe ")),$E$1="altes Jahr")</formula>
    </cfRule>
    <cfRule type="expression" dxfId="1004" priority="18" stopIfTrue="1">
      <formula>AND(NOT(OR(ISBLANK($A5),$A5="Summe ")),WEEKDAY($E$3,2)&gt;5)</formula>
    </cfRule>
  </conditionalFormatting>
  <conditionalFormatting sqref="G5:H30">
    <cfRule type="expression" dxfId="1003" priority="13" stopIfTrue="1">
      <formula>AND(NOT(OR(ISBLANK($A5),$A5="Summe ")),$G$1="altes Jahr")</formula>
    </cfRule>
    <cfRule type="expression" dxfId="1002" priority="15" stopIfTrue="1">
      <formula>AND(NOT(OR(ISBLANK($A5),$A5="Summe ")),WEEKDAY($G$3,2)&gt;5)</formula>
    </cfRule>
  </conditionalFormatting>
  <conditionalFormatting sqref="I5:J30">
    <cfRule type="expression" dxfId="1001" priority="10" stopIfTrue="1">
      <formula>AND(NOT(OR(ISBLANK($A5),$A5="Summe ")),$I$1="altes Jahr")</formula>
    </cfRule>
    <cfRule type="expression" dxfId="1000" priority="12" stopIfTrue="1">
      <formula>AND(NOT(OR(ISBLANK($A5),$A5="Summe ")),WEEKDAY($I$3,2)&gt;5)</formula>
    </cfRule>
  </conditionalFormatting>
  <conditionalFormatting sqref="K5:L30">
    <cfRule type="expression" dxfId="999" priority="7" stopIfTrue="1">
      <formula>AND(NOT(OR(ISBLANK($A5),$A5="Summe ")),$K$1="altes Jahr")</formula>
    </cfRule>
    <cfRule type="expression" dxfId="998" priority="9" stopIfTrue="1">
      <formula>AND(NOT(OR(ISBLANK($A5),$A5="Summe ")),WEEKDAY($K$3,2)&gt;5)</formula>
    </cfRule>
  </conditionalFormatting>
  <conditionalFormatting sqref="M5:N30">
    <cfRule type="expression" dxfId="997" priority="4" stopIfTrue="1">
      <formula>AND(NOT(OR(ISBLANK($A5),$A5="Summe ")),$M$1="altes Jahr")</formula>
    </cfRule>
    <cfRule type="expression" dxfId="996" priority="6" stopIfTrue="1">
      <formula>AND(NOT(OR(ISBLANK($A5),$A5="Summe ")),WEEKDAY($M$3,2)&gt;5)</formula>
    </cfRule>
  </conditionalFormatting>
  <conditionalFormatting sqref="O5:P30">
    <cfRule type="expression" dxfId="995" priority="1" stopIfTrue="1">
      <formula>AND(NOT(OR(ISBLANK($A5),$A5="Summe ")),$O$1="altes Jahr")</formula>
    </cfRule>
    <cfRule type="expression" dxfId="994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D7B5C71D-B228-4BFC-90E3-50FE6D86592B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80B4580D-302B-4747-ABD8-A1C1F119D9B9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2C7D73E0-5941-4D9E-8B82-E9733137B00C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60AA95BD-CBA8-43A2-A887-9076D8638F8C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D80E4BA1-12A4-439C-9EB4-8F5765752D31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B8C6A3E1-2223-45DD-87DC-C8CC6ACA155A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2E532D48-0ACC-46AD-BBE5-B0106275B3BE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/>
  <dimension ref="A1:U37"/>
  <sheetViews>
    <sheetView zoomScale="98" zoomScaleNormal="98"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2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B1" s="12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B2" s="13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78" t="s">
        <v>20</v>
      </c>
      <c r="B3" s="178" t="s">
        <v>21</v>
      </c>
      <c r="C3" s="91">
        <f>'KW 1'!$C$3+49</f>
        <v>44249</v>
      </c>
      <c r="D3" s="92">
        <f>C3</f>
        <v>44249</v>
      </c>
      <c r="E3" s="91">
        <f>C3+1</f>
        <v>44250</v>
      </c>
      <c r="F3" s="92">
        <f>E3</f>
        <v>44250</v>
      </c>
      <c r="G3" s="91">
        <f>C3+2</f>
        <v>44251</v>
      </c>
      <c r="H3" s="92">
        <f>G3</f>
        <v>44251</v>
      </c>
      <c r="I3" s="91">
        <f>C3+3</f>
        <v>44252</v>
      </c>
      <c r="J3" s="92">
        <f>I3</f>
        <v>44252</v>
      </c>
      <c r="K3" s="91">
        <f>C3+4</f>
        <v>44253</v>
      </c>
      <c r="L3" s="92">
        <f>K3</f>
        <v>44253</v>
      </c>
      <c r="M3" s="91">
        <f>C3+5</f>
        <v>44254</v>
      </c>
      <c r="N3" s="92">
        <f>M3</f>
        <v>44254</v>
      </c>
      <c r="O3" s="91">
        <f>C3+6</f>
        <v>44255</v>
      </c>
      <c r="P3" s="92">
        <f>O3</f>
        <v>44255</v>
      </c>
      <c r="Q3" s="14" t="s">
        <v>0</v>
      </c>
      <c r="R3" s="15" t="s">
        <v>0</v>
      </c>
      <c r="S3" s="178" t="s">
        <v>1</v>
      </c>
      <c r="T3" s="178" t="s">
        <v>2</v>
      </c>
      <c r="U3" s="176" t="s">
        <v>4</v>
      </c>
    </row>
    <row r="4" spans="1:21" ht="15.75" thickBot="1" x14ac:dyDescent="0.3">
      <c r="A4" s="179"/>
      <c r="B4" s="17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77"/>
    </row>
    <row r="5" spans="1:21" x14ac:dyDescent="0.25">
      <c r="A5" s="19" t="str">
        <f>Start!A5</f>
        <v>Postbearbeitung Bestand</v>
      </c>
      <c r="B5" s="134">
        <f>'KW 7'!S5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5">
        <f>'KW 7'!S6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6">
        <f>'KW 7'!S7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5">
        <f>'KW 7'!S9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5">
        <f>'KW 7'!S10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5">
        <f>'KW 7'!S11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5">
        <f>'KW 7'!S12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5">
        <f>'KW 7'!S14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5">
        <f>'KW 7'!S15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5">
        <f>'KW 7'!S17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39">
        <f>'KW 7'!S20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4">
        <f>'KW 7'!S22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5">
        <f>'KW 7'!S23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6">
        <f>'KW 7'!S24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4">
        <f>'KW 7'!S26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5">
        <f>'KW 7'!S27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6">
        <f>'KW 7'!S28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39">
        <f>'KW 7'!S30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B32" s="144"/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B34" s="144"/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4">
        <f>'KW 7'!S35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D30">
    <cfRule type="expression" dxfId="986" priority="19" stopIfTrue="1">
      <formula>AND(NOT(OR(ISBLANK($A5),$A5="Summe ")),$C$1="altes Jahr")</formula>
    </cfRule>
    <cfRule type="expression" dxfId="985" priority="21" stopIfTrue="1">
      <formula>AND(NOT(OR(ISBLANK($A5),$A5="Summe ")),WEEKDAY($C$3,2)&gt;5)</formula>
    </cfRule>
  </conditionalFormatting>
  <conditionalFormatting sqref="E5:F30">
    <cfRule type="expression" dxfId="984" priority="16" stopIfTrue="1">
      <formula>AND(NOT(OR(ISBLANK($A5),$A5="Summe ")),$E$1="altes Jahr")</formula>
    </cfRule>
    <cfRule type="expression" dxfId="983" priority="18" stopIfTrue="1">
      <formula>AND(NOT(OR(ISBLANK($A5),$A5="Summe ")),WEEKDAY($E$3,2)&gt;5)</formula>
    </cfRule>
  </conditionalFormatting>
  <conditionalFormatting sqref="G5:H30">
    <cfRule type="expression" dxfId="982" priority="13" stopIfTrue="1">
      <formula>AND(NOT(OR(ISBLANK($A5),$A5="Summe ")),$G$1="altes Jahr")</formula>
    </cfRule>
    <cfRule type="expression" dxfId="981" priority="15" stopIfTrue="1">
      <formula>AND(NOT(OR(ISBLANK($A5),$A5="Summe ")),WEEKDAY($G$3,2)&gt;5)</formula>
    </cfRule>
  </conditionalFormatting>
  <conditionalFormatting sqref="I5:J30">
    <cfRule type="expression" dxfId="980" priority="10" stopIfTrue="1">
      <formula>AND(NOT(OR(ISBLANK($A5),$A5="Summe ")),$I$1="altes Jahr")</formula>
    </cfRule>
    <cfRule type="expression" dxfId="979" priority="12" stopIfTrue="1">
      <formula>AND(NOT(OR(ISBLANK($A5),$A5="Summe ")),WEEKDAY($I$3,2)&gt;5)</formula>
    </cfRule>
  </conditionalFormatting>
  <conditionalFormatting sqref="K5:L30">
    <cfRule type="expression" dxfId="978" priority="7" stopIfTrue="1">
      <formula>AND(NOT(OR(ISBLANK($A5),$A5="Summe ")),$K$1="altes Jahr")</formula>
    </cfRule>
    <cfRule type="expression" dxfId="977" priority="9" stopIfTrue="1">
      <formula>AND(NOT(OR(ISBLANK($A5),$A5="Summe ")),WEEKDAY($K$3,2)&gt;5)</formula>
    </cfRule>
  </conditionalFormatting>
  <conditionalFormatting sqref="M5:N30">
    <cfRule type="expression" dxfId="976" priority="4" stopIfTrue="1">
      <formula>AND(NOT(OR(ISBLANK($A5),$A5="Summe ")),$M$1="altes Jahr")</formula>
    </cfRule>
    <cfRule type="expression" dxfId="975" priority="6" stopIfTrue="1">
      <formula>AND(NOT(OR(ISBLANK($A5),$A5="Summe ")),WEEKDAY($M$3,2)&gt;5)</formula>
    </cfRule>
  </conditionalFormatting>
  <conditionalFormatting sqref="O5:P30">
    <cfRule type="expression" dxfId="974" priority="1" stopIfTrue="1">
      <formula>AND(NOT(OR(ISBLANK($A5),$A5="Summe ")),$O$1="altes Jahr")</formula>
    </cfRule>
    <cfRule type="expression" dxfId="973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58CF95DE-A5EF-4212-A7B9-B438E7F5BB9B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2050C11B-2CDD-41DA-B984-DA9135D1A9FD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BC68F51E-7198-42BC-9CE8-6B696CE94561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909E8DED-BDBB-4F58-A4B5-9004819E8E2F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D997913E-A696-409B-BD37-F1665E298D3A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A0DAB4F2-561C-4316-9F50-232B476FFD08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10299185-31EA-4FD7-B322-FE090670FFFF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/>
  <dimension ref="A1:U37"/>
  <sheetViews>
    <sheetView zoomScale="102" zoomScaleNormal="102"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2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B1" s="12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B2" s="13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78" t="s">
        <v>20</v>
      </c>
      <c r="B3" s="178" t="s">
        <v>21</v>
      </c>
      <c r="C3" s="91">
        <f>'KW 1'!$C$3+56</f>
        <v>44256</v>
      </c>
      <c r="D3" s="92">
        <f>C3</f>
        <v>44256</v>
      </c>
      <c r="E3" s="91">
        <f>C3+1</f>
        <v>44257</v>
      </c>
      <c r="F3" s="92">
        <f>E3</f>
        <v>44257</v>
      </c>
      <c r="G3" s="91">
        <f>C3+2</f>
        <v>44258</v>
      </c>
      <c r="H3" s="92">
        <f>G3</f>
        <v>44258</v>
      </c>
      <c r="I3" s="91">
        <f>C3+3</f>
        <v>44259</v>
      </c>
      <c r="J3" s="92">
        <f>I3</f>
        <v>44259</v>
      </c>
      <c r="K3" s="91">
        <f>C3+4</f>
        <v>44260</v>
      </c>
      <c r="L3" s="92">
        <f>K3</f>
        <v>44260</v>
      </c>
      <c r="M3" s="91">
        <f>C3+5</f>
        <v>44261</v>
      </c>
      <c r="N3" s="92">
        <f>M3</f>
        <v>44261</v>
      </c>
      <c r="O3" s="91">
        <f>C3+6</f>
        <v>44262</v>
      </c>
      <c r="P3" s="92">
        <f>O3</f>
        <v>44262</v>
      </c>
      <c r="Q3" s="14" t="s">
        <v>0</v>
      </c>
      <c r="R3" s="15" t="s">
        <v>0</v>
      </c>
      <c r="S3" s="178" t="s">
        <v>1</v>
      </c>
      <c r="T3" s="178" t="s">
        <v>2</v>
      </c>
      <c r="U3" s="176" t="s">
        <v>4</v>
      </c>
    </row>
    <row r="4" spans="1:21" ht="15.75" thickBot="1" x14ac:dyDescent="0.3">
      <c r="A4" s="179"/>
      <c r="B4" s="17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77"/>
    </row>
    <row r="5" spans="1:21" x14ac:dyDescent="0.25">
      <c r="A5" s="19" t="str">
        <f>Start!A5</f>
        <v>Postbearbeitung Bestand</v>
      </c>
      <c r="B5" s="134">
        <f>'KW 8'!S5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5">
        <f>'KW 8'!S6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6">
        <f>'KW 8'!S7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4">
        <f>'KW 8'!S9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5">
        <f>'KW 8'!S10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5">
        <f>'KW 8'!S11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6">
        <f>'KW 8'!S12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4">
        <f>'KW 8'!S14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6">
        <f>'KW 8'!S15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6">
        <f>'KW 8'!S17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39">
        <f>'KW 8'!S20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4">
        <f>'KW 8'!S22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5">
        <f>'KW 8'!S23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6">
        <f>'KW 8'!S24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4">
        <f>'KW 8'!S26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5">
        <f>'KW 8'!S27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6">
        <f>'KW 8'!S28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39">
        <f>'KW 8'!S30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B32" s="144"/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B34" s="144"/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4">
        <f>'KW 8'!S35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D30">
    <cfRule type="expression" dxfId="965" priority="19" stopIfTrue="1">
      <formula>AND(NOT(OR(ISBLANK($A5),$A5="Summe ")),$C$1="altes Jahr")</formula>
    </cfRule>
    <cfRule type="expression" dxfId="964" priority="21" stopIfTrue="1">
      <formula>AND(NOT(OR(ISBLANK($A5),$A5="Summe ")),WEEKDAY($C$3,2)&gt;5)</formula>
    </cfRule>
  </conditionalFormatting>
  <conditionalFormatting sqref="E5:F30">
    <cfRule type="expression" dxfId="963" priority="16" stopIfTrue="1">
      <formula>AND(NOT(OR(ISBLANK($A5),$A5="Summe ")),$E$1="altes Jahr")</formula>
    </cfRule>
    <cfRule type="expression" dxfId="962" priority="18" stopIfTrue="1">
      <formula>AND(NOT(OR(ISBLANK($A5),$A5="Summe ")),WEEKDAY($E$3,2)&gt;5)</formula>
    </cfRule>
  </conditionalFormatting>
  <conditionalFormatting sqref="G5:H30">
    <cfRule type="expression" dxfId="961" priority="13" stopIfTrue="1">
      <formula>AND(NOT(OR(ISBLANK($A5),$A5="Summe ")),$G$1="altes Jahr")</formula>
    </cfRule>
    <cfRule type="expression" dxfId="960" priority="15" stopIfTrue="1">
      <formula>AND(NOT(OR(ISBLANK($A5),$A5="Summe ")),WEEKDAY($G$3,2)&gt;5)</formula>
    </cfRule>
  </conditionalFormatting>
  <conditionalFormatting sqref="I5:J30">
    <cfRule type="expression" dxfId="959" priority="10" stopIfTrue="1">
      <formula>AND(NOT(OR(ISBLANK($A5),$A5="Summe ")),$I$1="altes Jahr")</formula>
    </cfRule>
    <cfRule type="expression" dxfId="958" priority="12" stopIfTrue="1">
      <formula>AND(NOT(OR(ISBLANK($A5),$A5="Summe ")),WEEKDAY($I$3,2)&gt;5)</formula>
    </cfRule>
  </conditionalFormatting>
  <conditionalFormatting sqref="K5:L30">
    <cfRule type="expression" dxfId="957" priority="7" stopIfTrue="1">
      <formula>AND(NOT(OR(ISBLANK($A5),$A5="Summe ")),$K$1="altes Jahr")</formula>
    </cfRule>
    <cfRule type="expression" dxfId="956" priority="9" stopIfTrue="1">
      <formula>AND(NOT(OR(ISBLANK($A5),$A5="Summe ")),WEEKDAY($K$3,2)&gt;5)</formula>
    </cfRule>
  </conditionalFormatting>
  <conditionalFormatting sqref="M5:N30">
    <cfRule type="expression" dxfId="955" priority="4" stopIfTrue="1">
      <formula>AND(NOT(OR(ISBLANK($A5),$A5="Summe ")),$M$1="altes Jahr")</formula>
    </cfRule>
    <cfRule type="expression" dxfId="954" priority="6" stopIfTrue="1">
      <formula>AND(NOT(OR(ISBLANK($A5),$A5="Summe ")),WEEKDAY($M$3,2)&gt;5)</formula>
    </cfRule>
  </conditionalFormatting>
  <conditionalFormatting sqref="O5:P30">
    <cfRule type="expression" dxfId="953" priority="1" stopIfTrue="1">
      <formula>AND(NOT(OR(ISBLANK($A5),$A5="Summe ")),$O$1="altes Jahr")</formula>
    </cfRule>
    <cfRule type="expression" dxfId="952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5FE450CF-4E84-4CC9-ACA3-B05525B6D947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11793633-4613-4460-B8C3-A5754C4F8D5F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61717115-803D-4DF6-A403-5345188118DB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45BD77BA-AE56-4078-9027-7F4169BD21F4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E687DF0B-4FA1-457D-9F6B-7D3D3EDCBEF9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F3CA7FBF-FBA3-4493-B582-6BF84305BDF4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BF3DDA5E-91B0-48A6-B5BF-5A6F9E129867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/>
  <dimension ref="A1:U37"/>
  <sheetViews>
    <sheetView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2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B1" s="12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B2" s="13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78" t="s">
        <v>20</v>
      </c>
      <c r="B3" s="178" t="s">
        <v>21</v>
      </c>
      <c r="C3" s="91">
        <f>'KW 1'!$C$3+63</f>
        <v>44263</v>
      </c>
      <c r="D3" s="92">
        <f>C3</f>
        <v>44263</v>
      </c>
      <c r="E3" s="91">
        <f>C3+1</f>
        <v>44264</v>
      </c>
      <c r="F3" s="92">
        <f>E3</f>
        <v>44264</v>
      </c>
      <c r="G3" s="91">
        <f>C3+2</f>
        <v>44265</v>
      </c>
      <c r="H3" s="92">
        <f>G3</f>
        <v>44265</v>
      </c>
      <c r="I3" s="91">
        <f>C3+3</f>
        <v>44266</v>
      </c>
      <c r="J3" s="92">
        <f>I3</f>
        <v>44266</v>
      </c>
      <c r="K3" s="91">
        <f>C3+4</f>
        <v>44267</v>
      </c>
      <c r="L3" s="92">
        <f>K3</f>
        <v>44267</v>
      </c>
      <c r="M3" s="91">
        <f>C3+5</f>
        <v>44268</v>
      </c>
      <c r="N3" s="92">
        <f>M3</f>
        <v>44268</v>
      </c>
      <c r="O3" s="91">
        <f>C3+6</f>
        <v>44269</v>
      </c>
      <c r="P3" s="92">
        <f>O3</f>
        <v>44269</v>
      </c>
      <c r="Q3" s="14" t="s">
        <v>0</v>
      </c>
      <c r="R3" s="15" t="s">
        <v>0</v>
      </c>
      <c r="S3" s="178" t="s">
        <v>1</v>
      </c>
      <c r="T3" s="178" t="s">
        <v>2</v>
      </c>
      <c r="U3" s="176" t="s">
        <v>4</v>
      </c>
    </row>
    <row r="4" spans="1:21" ht="15.75" thickBot="1" x14ac:dyDescent="0.3">
      <c r="A4" s="179"/>
      <c r="B4" s="17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77"/>
    </row>
    <row r="5" spans="1:21" x14ac:dyDescent="0.25">
      <c r="A5" s="19" t="str">
        <f>Start!A5</f>
        <v>Postbearbeitung Bestand</v>
      </c>
      <c r="B5" s="134">
        <f>'KW 9'!S5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5">
        <f>'KW 9'!S6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6">
        <f>'KW 9'!S7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4">
        <f>'KW 9'!S9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5">
        <f>'KW 9'!S10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5">
        <f>'KW 9'!S11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6">
        <f>'KW 9'!S12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4">
        <f>'KW 9'!S14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6">
        <f>'KW 9'!S15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6">
        <f>'KW 9'!S17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39">
        <f>'KW 9'!S20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4">
        <f>'KW 9'!S22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5">
        <f>'KW 9'!S23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6">
        <f>'KW 9'!S24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4">
        <f>'KW 9'!S26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5">
        <f>'KW 9'!S27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6">
        <f>'KW 9'!S28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39">
        <f>'KW 9'!S30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B32" s="144"/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B34" s="144"/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4">
        <f>'KW 9'!S35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D30">
    <cfRule type="expression" dxfId="944" priority="19" stopIfTrue="1">
      <formula>AND(NOT(OR(ISBLANK($A5),$A5="Summe ")),$C$1="altes Jahr")</formula>
    </cfRule>
    <cfRule type="expression" dxfId="943" priority="21" stopIfTrue="1">
      <formula>AND(NOT(OR(ISBLANK($A5),$A5="Summe ")),WEEKDAY($C$3,2)&gt;5)</formula>
    </cfRule>
  </conditionalFormatting>
  <conditionalFormatting sqref="E5:F30">
    <cfRule type="expression" dxfId="942" priority="16" stopIfTrue="1">
      <formula>AND(NOT(OR(ISBLANK($A5),$A5="Summe ")),$E$1="altes Jahr")</formula>
    </cfRule>
    <cfRule type="expression" dxfId="941" priority="18" stopIfTrue="1">
      <formula>AND(NOT(OR(ISBLANK($A5),$A5="Summe ")),WEEKDAY($E$3,2)&gt;5)</formula>
    </cfRule>
  </conditionalFormatting>
  <conditionalFormatting sqref="G5:H30">
    <cfRule type="expression" dxfId="940" priority="13" stopIfTrue="1">
      <formula>AND(NOT(OR(ISBLANK($A5),$A5="Summe ")),$G$1="altes Jahr")</formula>
    </cfRule>
    <cfRule type="expression" dxfId="939" priority="15" stopIfTrue="1">
      <formula>AND(NOT(OR(ISBLANK($A5),$A5="Summe ")),WEEKDAY($G$3,2)&gt;5)</formula>
    </cfRule>
  </conditionalFormatting>
  <conditionalFormatting sqref="I5:J30">
    <cfRule type="expression" dxfId="938" priority="10" stopIfTrue="1">
      <formula>AND(NOT(OR(ISBLANK($A5),$A5="Summe ")),$I$1="altes Jahr")</formula>
    </cfRule>
    <cfRule type="expression" dxfId="937" priority="12" stopIfTrue="1">
      <formula>AND(NOT(OR(ISBLANK($A5),$A5="Summe ")),WEEKDAY($I$3,2)&gt;5)</formula>
    </cfRule>
  </conditionalFormatting>
  <conditionalFormatting sqref="K5:L30">
    <cfRule type="expression" dxfId="936" priority="7" stopIfTrue="1">
      <formula>AND(NOT(OR(ISBLANK($A5),$A5="Summe ")),$K$1="altes Jahr")</formula>
    </cfRule>
    <cfRule type="expression" dxfId="935" priority="9" stopIfTrue="1">
      <formula>AND(NOT(OR(ISBLANK($A5),$A5="Summe ")),WEEKDAY($K$3,2)&gt;5)</formula>
    </cfRule>
  </conditionalFormatting>
  <conditionalFormatting sqref="M5:N30">
    <cfRule type="expression" dxfId="934" priority="4" stopIfTrue="1">
      <formula>AND(NOT(OR(ISBLANK($A5),$A5="Summe ")),$M$1="altes Jahr")</formula>
    </cfRule>
    <cfRule type="expression" dxfId="933" priority="6" stopIfTrue="1">
      <formula>AND(NOT(OR(ISBLANK($A5),$A5="Summe ")),WEEKDAY($M$3,2)&gt;5)</formula>
    </cfRule>
  </conditionalFormatting>
  <conditionalFormatting sqref="O5:P30">
    <cfRule type="expression" dxfId="932" priority="1" stopIfTrue="1">
      <formula>AND(NOT(OR(ISBLANK($A5),$A5="Summe ")),$O$1="altes Jahr")</formula>
    </cfRule>
    <cfRule type="expression" dxfId="931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3CAFF13B-B658-4BE0-ACF6-EFFB391DDBE6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CF6C1A1C-9585-432C-8903-F4162E286C0E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2E1668F1-77EC-4FF9-B169-5B49BDE5C6E8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90137C3D-B81C-4966-92D7-56D65EFB22A2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3F1D1130-838D-4E81-B5F7-0797422E30D4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8AF2D9A0-E93F-4ADC-9B59-7656CB612527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7487C02D-F1FA-42CE-B251-B8DEDE702479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4"/>
  <dimension ref="A1:U37"/>
  <sheetViews>
    <sheetView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2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B1" s="12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B2" s="13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78" t="s">
        <v>20</v>
      </c>
      <c r="B3" s="178" t="s">
        <v>21</v>
      </c>
      <c r="C3" s="91">
        <f>'KW 1'!$C$3+70</f>
        <v>44270</v>
      </c>
      <c r="D3" s="92">
        <f>C3</f>
        <v>44270</v>
      </c>
      <c r="E3" s="91">
        <f>C3+1</f>
        <v>44271</v>
      </c>
      <c r="F3" s="92">
        <f>E3</f>
        <v>44271</v>
      </c>
      <c r="G3" s="91">
        <f>C3+2</f>
        <v>44272</v>
      </c>
      <c r="H3" s="92">
        <f>G3</f>
        <v>44272</v>
      </c>
      <c r="I3" s="91">
        <f>C3+3</f>
        <v>44273</v>
      </c>
      <c r="J3" s="92">
        <f>I3</f>
        <v>44273</v>
      </c>
      <c r="K3" s="91">
        <f>C3+4</f>
        <v>44274</v>
      </c>
      <c r="L3" s="92">
        <f>K3</f>
        <v>44274</v>
      </c>
      <c r="M3" s="91">
        <f>C3+5</f>
        <v>44275</v>
      </c>
      <c r="N3" s="92">
        <f>M3</f>
        <v>44275</v>
      </c>
      <c r="O3" s="91">
        <f>C3+6</f>
        <v>44276</v>
      </c>
      <c r="P3" s="92">
        <f>O3</f>
        <v>44276</v>
      </c>
      <c r="Q3" s="14" t="s">
        <v>0</v>
      </c>
      <c r="R3" s="15" t="s">
        <v>0</v>
      </c>
      <c r="S3" s="178" t="s">
        <v>1</v>
      </c>
      <c r="T3" s="178" t="s">
        <v>2</v>
      </c>
      <c r="U3" s="176" t="s">
        <v>4</v>
      </c>
    </row>
    <row r="4" spans="1:21" ht="15.75" thickBot="1" x14ac:dyDescent="0.3">
      <c r="A4" s="179"/>
      <c r="B4" s="17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77"/>
    </row>
    <row r="5" spans="1:21" x14ac:dyDescent="0.25">
      <c r="A5" s="19" t="str">
        <f>Start!A5</f>
        <v>Postbearbeitung Bestand</v>
      </c>
      <c r="B5" s="134">
        <f>'KW 10'!S5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5">
        <f>'KW 10'!S6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6">
        <f>'KW 10'!S7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4">
        <f>'KW 10'!S9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5">
        <f>'KW 10'!S10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5">
        <f>'KW 10'!S11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6">
        <f>'KW 10'!S12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4">
        <f>'KW 10'!S14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6">
        <f>'KW 10'!S15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6">
        <f>'KW 10'!S17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39">
        <f>'KW 10'!S20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4">
        <f>'KW 10'!S22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5">
        <f>'KW 10'!S23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6">
        <f>'KW 10'!S24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4">
        <f>'KW 10'!S26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5">
        <f>'KW 10'!S27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6">
        <f>'KW 10'!S28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39">
        <f>'KW 10'!S30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B32" s="144"/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B34" s="144"/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4">
        <f>'KW 10'!S35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D30">
    <cfRule type="expression" dxfId="923" priority="19" stopIfTrue="1">
      <formula>AND(NOT(OR(ISBLANK($A5),$A5="Summe ")),$C$1="altes Jahr")</formula>
    </cfRule>
    <cfRule type="expression" dxfId="922" priority="21" stopIfTrue="1">
      <formula>AND(NOT(OR(ISBLANK($A5),$A5="Summe ")),WEEKDAY($C$3,2)&gt;5)</formula>
    </cfRule>
  </conditionalFormatting>
  <conditionalFormatting sqref="E5:F30">
    <cfRule type="expression" dxfId="921" priority="16" stopIfTrue="1">
      <formula>AND(NOT(OR(ISBLANK($A5),$A5="Summe ")),$E$1="altes Jahr")</formula>
    </cfRule>
    <cfRule type="expression" dxfId="920" priority="18" stopIfTrue="1">
      <formula>AND(NOT(OR(ISBLANK($A5),$A5="Summe ")),WEEKDAY($E$3,2)&gt;5)</formula>
    </cfRule>
  </conditionalFormatting>
  <conditionalFormatting sqref="G5:H30">
    <cfRule type="expression" dxfId="919" priority="13" stopIfTrue="1">
      <formula>AND(NOT(OR(ISBLANK($A5),$A5="Summe ")),$G$1="altes Jahr")</formula>
    </cfRule>
    <cfRule type="expression" dxfId="918" priority="15" stopIfTrue="1">
      <formula>AND(NOT(OR(ISBLANK($A5),$A5="Summe ")),WEEKDAY($G$3,2)&gt;5)</formula>
    </cfRule>
  </conditionalFormatting>
  <conditionalFormatting sqref="I5:J30">
    <cfRule type="expression" dxfId="917" priority="10" stopIfTrue="1">
      <formula>AND(NOT(OR(ISBLANK($A5),$A5="Summe ")),$I$1="altes Jahr")</formula>
    </cfRule>
    <cfRule type="expression" dxfId="916" priority="12" stopIfTrue="1">
      <formula>AND(NOT(OR(ISBLANK($A5),$A5="Summe ")),WEEKDAY($I$3,2)&gt;5)</formula>
    </cfRule>
  </conditionalFormatting>
  <conditionalFormatting sqref="K5:L30">
    <cfRule type="expression" dxfId="915" priority="7" stopIfTrue="1">
      <formula>AND(NOT(OR(ISBLANK($A5),$A5="Summe ")),$K$1="altes Jahr")</formula>
    </cfRule>
    <cfRule type="expression" dxfId="914" priority="9" stopIfTrue="1">
      <formula>AND(NOT(OR(ISBLANK($A5),$A5="Summe ")),WEEKDAY($K$3,2)&gt;5)</formula>
    </cfRule>
  </conditionalFormatting>
  <conditionalFormatting sqref="M5:N30">
    <cfRule type="expression" dxfId="913" priority="4" stopIfTrue="1">
      <formula>AND(NOT(OR(ISBLANK($A5),$A5="Summe ")),$M$1="altes Jahr")</formula>
    </cfRule>
    <cfRule type="expression" dxfId="912" priority="6" stopIfTrue="1">
      <formula>AND(NOT(OR(ISBLANK($A5),$A5="Summe ")),WEEKDAY($M$3,2)&gt;5)</formula>
    </cfRule>
  </conditionalFormatting>
  <conditionalFormatting sqref="O5:P30">
    <cfRule type="expression" dxfId="911" priority="1" stopIfTrue="1">
      <formula>AND(NOT(OR(ISBLANK($A5),$A5="Summe ")),$O$1="altes Jahr")</formula>
    </cfRule>
    <cfRule type="expression" dxfId="910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B821DE60-9FFB-4310-8B9C-0027A321FD5D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72ECC59B-77DC-4E55-B053-00FE29960D02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1B39CDA5-DB02-4F7D-807F-66F95CBE0CCD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2187CB0D-8390-4623-9A8C-290AC80F795B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B0A1922C-329B-41DE-813D-24DCE103F0DC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E26726B9-17BD-4D8F-B110-09B3F1B5C37A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AB2427B6-ED3F-4D14-9CC7-179AA1D4EF8B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5"/>
  <dimension ref="A1:U37"/>
  <sheetViews>
    <sheetView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144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78" t="s">
        <v>20</v>
      </c>
      <c r="B3" s="182" t="s">
        <v>21</v>
      </c>
      <c r="C3" s="91">
        <f>'KW 1'!$C$3+77</f>
        <v>44277</v>
      </c>
      <c r="D3" s="92">
        <f>C3</f>
        <v>44277</v>
      </c>
      <c r="E3" s="91">
        <f>C3+1</f>
        <v>44278</v>
      </c>
      <c r="F3" s="92">
        <f>E3</f>
        <v>44278</v>
      </c>
      <c r="G3" s="91">
        <f>C3+2</f>
        <v>44279</v>
      </c>
      <c r="H3" s="92">
        <f>G3</f>
        <v>44279</v>
      </c>
      <c r="I3" s="91">
        <f>C3+3</f>
        <v>44280</v>
      </c>
      <c r="J3" s="92">
        <f>I3</f>
        <v>44280</v>
      </c>
      <c r="K3" s="91">
        <f>C3+4</f>
        <v>44281</v>
      </c>
      <c r="L3" s="92">
        <f>K3</f>
        <v>44281</v>
      </c>
      <c r="M3" s="91">
        <f>C3+5</f>
        <v>44282</v>
      </c>
      <c r="N3" s="92">
        <f>M3</f>
        <v>44282</v>
      </c>
      <c r="O3" s="91">
        <f>C3+6</f>
        <v>44283</v>
      </c>
      <c r="P3" s="92">
        <f>O3</f>
        <v>44283</v>
      </c>
      <c r="Q3" s="14" t="s">
        <v>0</v>
      </c>
      <c r="R3" s="15" t="s">
        <v>0</v>
      </c>
      <c r="S3" s="178" t="s">
        <v>1</v>
      </c>
      <c r="T3" s="178" t="s">
        <v>2</v>
      </c>
      <c r="U3" s="176" t="s">
        <v>4</v>
      </c>
    </row>
    <row r="4" spans="1:21" ht="15.75" thickBot="1" x14ac:dyDescent="0.3">
      <c r="A4" s="179"/>
      <c r="B4" s="183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77"/>
    </row>
    <row r="5" spans="1:21" x14ac:dyDescent="0.25">
      <c r="A5" s="19" t="str">
        <f>Start!A5</f>
        <v>Postbearbeitung Bestand</v>
      </c>
      <c r="B5" s="134">
        <f>'KW 11'!S5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5">
        <f>'KW 11'!S6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6">
        <f>'KW 11'!S7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4">
        <f>'KW 11'!S9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5">
        <f>'KW 11'!S10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5">
        <f>'KW 11'!S11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6">
        <f>'KW 11'!S12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4">
        <f>'KW 11'!S14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6">
        <f>'KW 11'!S15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6">
        <f>'KW 11'!S17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39">
        <f>'KW 11'!S20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4">
        <f>'KW 11'!S22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5">
        <f>'KW 11'!S23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6">
        <f>'KW 11'!S24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4">
        <f>'KW 11'!S26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5">
        <f>'KW 11'!S27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6">
        <f>'KW 11'!S28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39">
        <f>'KW 11'!S30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4">
        <f>'KW 11'!S35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D30">
    <cfRule type="expression" dxfId="902" priority="19" stopIfTrue="1">
      <formula>AND(NOT(OR(ISBLANK($A5),$A5="Summe ")),$C$1="altes Jahr")</formula>
    </cfRule>
    <cfRule type="expression" dxfId="901" priority="21" stopIfTrue="1">
      <formula>AND(NOT(OR(ISBLANK($A5),$A5="Summe ")),WEEKDAY($C$3,2)&gt;5)</formula>
    </cfRule>
  </conditionalFormatting>
  <conditionalFormatting sqref="E5:F30">
    <cfRule type="expression" dxfId="900" priority="16" stopIfTrue="1">
      <formula>AND(NOT(OR(ISBLANK($A5),$A5="Summe ")),$E$1="altes Jahr")</formula>
    </cfRule>
    <cfRule type="expression" dxfId="899" priority="18" stopIfTrue="1">
      <formula>AND(NOT(OR(ISBLANK($A5),$A5="Summe ")),WEEKDAY($E$3,2)&gt;5)</formula>
    </cfRule>
  </conditionalFormatting>
  <conditionalFormatting sqref="G5:H30">
    <cfRule type="expression" dxfId="898" priority="13" stopIfTrue="1">
      <formula>AND(NOT(OR(ISBLANK($A5),$A5="Summe ")),$G$1="altes Jahr")</formula>
    </cfRule>
    <cfRule type="expression" dxfId="897" priority="15" stopIfTrue="1">
      <formula>AND(NOT(OR(ISBLANK($A5),$A5="Summe ")),WEEKDAY($G$3,2)&gt;5)</formula>
    </cfRule>
  </conditionalFormatting>
  <conditionalFormatting sqref="I5:J30">
    <cfRule type="expression" dxfId="896" priority="10" stopIfTrue="1">
      <formula>AND(NOT(OR(ISBLANK($A5),$A5="Summe ")),$I$1="altes Jahr")</formula>
    </cfRule>
    <cfRule type="expression" dxfId="895" priority="12" stopIfTrue="1">
      <formula>AND(NOT(OR(ISBLANK($A5),$A5="Summe ")),WEEKDAY($I$3,2)&gt;5)</formula>
    </cfRule>
  </conditionalFormatting>
  <conditionalFormatting sqref="K5:L30">
    <cfRule type="expression" dxfId="894" priority="7" stopIfTrue="1">
      <formula>AND(NOT(OR(ISBLANK($A5),$A5="Summe ")),$K$1="altes Jahr")</formula>
    </cfRule>
    <cfRule type="expression" dxfId="893" priority="9" stopIfTrue="1">
      <formula>AND(NOT(OR(ISBLANK($A5),$A5="Summe ")),WEEKDAY($K$3,2)&gt;5)</formula>
    </cfRule>
  </conditionalFormatting>
  <conditionalFormatting sqref="M5:N30">
    <cfRule type="expression" dxfId="892" priority="4" stopIfTrue="1">
      <formula>AND(NOT(OR(ISBLANK($A5),$A5="Summe ")),$M$1="altes Jahr")</formula>
    </cfRule>
    <cfRule type="expression" dxfId="891" priority="6" stopIfTrue="1">
      <formula>AND(NOT(OR(ISBLANK($A5),$A5="Summe ")),WEEKDAY($M$3,2)&gt;5)</formula>
    </cfRule>
  </conditionalFormatting>
  <conditionalFormatting sqref="O5:P30">
    <cfRule type="expression" dxfId="890" priority="1" stopIfTrue="1">
      <formula>AND(NOT(OR(ISBLANK($A5),$A5="Summe ")),$O$1="altes Jahr")</formula>
    </cfRule>
    <cfRule type="expression" dxfId="889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901059F1-63CB-44B4-A996-6D3A6C9592A3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81BB6E43-3FE8-4A09-A624-A81B07AFD241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95A31266-7F97-4678-919B-A58696B60B8D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EA9890D0-7C9F-4F7D-93F4-9D4DB527DD72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63623931-08F9-4A81-9315-1615D30C655C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B81699BF-BC14-4B8A-8436-6AC74F6A6F3D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0C2640D5-3BC5-4507-AD6E-C8D07087DACE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6"/>
  <dimension ref="A1:U37"/>
  <sheetViews>
    <sheetView workbookViewId="0">
      <selection activeCell="O5" sqref="O5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>Karfreitag</v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>Ostersonntag</v>
      </c>
    </row>
    <row r="3" spans="1:21" ht="15.75" thickBot="1" x14ac:dyDescent="0.3">
      <c r="A3" s="178" t="s">
        <v>20</v>
      </c>
      <c r="B3" s="182" t="s">
        <v>21</v>
      </c>
      <c r="C3" s="91">
        <f>'KW 1'!$C$3+84</f>
        <v>44284</v>
      </c>
      <c r="D3" s="92">
        <f>C3</f>
        <v>44284</v>
      </c>
      <c r="E3" s="91">
        <f>C3+1</f>
        <v>44285</v>
      </c>
      <c r="F3" s="92">
        <f>E3</f>
        <v>44285</v>
      </c>
      <c r="G3" s="91">
        <f>C3+2</f>
        <v>44286</v>
      </c>
      <c r="H3" s="92">
        <f>G3</f>
        <v>44286</v>
      </c>
      <c r="I3" s="91">
        <f>C3+3</f>
        <v>44287</v>
      </c>
      <c r="J3" s="92">
        <f>I3</f>
        <v>44287</v>
      </c>
      <c r="K3" s="92">
        <f>C3+4</f>
        <v>44288</v>
      </c>
      <c r="L3" s="92">
        <f>K3</f>
        <v>44288</v>
      </c>
      <c r="M3" s="91">
        <f>C3+5</f>
        <v>44289</v>
      </c>
      <c r="N3" s="92">
        <f>M3</f>
        <v>44289</v>
      </c>
      <c r="O3" s="91">
        <f>C3+6</f>
        <v>44290</v>
      </c>
      <c r="P3" s="92">
        <f>O3</f>
        <v>44290</v>
      </c>
      <c r="Q3" s="14" t="s">
        <v>0</v>
      </c>
      <c r="R3" s="15" t="s">
        <v>0</v>
      </c>
      <c r="S3" s="178" t="s">
        <v>1</v>
      </c>
      <c r="T3" s="178" t="s">
        <v>2</v>
      </c>
      <c r="U3" s="176" t="s">
        <v>4</v>
      </c>
    </row>
    <row r="4" spans="1:21" ht="15.75" thickBot="1" x14ac:dyDescent="0.3">
      <c r="A4" s="179"/>
      <c r="B4" s="183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77"/>
    </row>
    <row r="5" spans="1:21" x14ac:dyDescent="0.25">
      <c r="A5" s="19" t="str">
        <f>Start!A5</f>
        <v>Postbearbeitung Bestand</v>
      </c>
      <c r="B5" s="134">
        <f>'KW 12'!S5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5">
        <f>'KW 12'!S6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6">
        <f>'KW 12'!S7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4">
        <f>'KW 12'!S9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5">
        <f>'KW 12'!S10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5">
        <f>'KW 12'!S11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6">
        <f>'KW 12'!S12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5">
        <f>'KW 12'!S14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5">
        <f>'KW 12'!S15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127"/>
      <c r="L16" s="127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5">
        <f>'KW 12'!S17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128"/>
      <c r="L19" s="128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39">
        <f>'KW 12'!S20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4">
        <f>'KW 12'!S22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5">
        <f>'KW 12'!S23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6">
        <f>'KW 12'!S24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4">
        <f>'KW 12'!S26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5">
        <f>'KW 12'!S27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6">
        <f>'KW 12'!S28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39">
        <f>'KW 12'!S30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K32" s="129"/>
      <c r="L32" s="129"/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59">
        <f>'KW 12'!S35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D30">
    <cfRule type="expression" dxfId="881" priority="19" stopIfTrue="1">
      <formula>AND(NOT(OR(ISBLANK($A5),$A5="Summe ")),$C$1="altes Jahr")</formula>
    </cfRule>
    <cfRule type="expression" dxfId="880" priority="21" stopIfTrue="1">
      <formula>AND(NOT(OR(ISBLANK($A5),$A5="Summe ")),WEEKDAY($C$3,2)&gt;5)</formula>
    </cfRule>
  </conditionalFormatting>
  <conditionalFormatting sqref="E5:F30">
    <cfRule type="expression" dxfId="879" priority="16" stopIfTrue="1">
      <formula>AND(NOT(OR(ISBLANK($A5),$A5="Summe ")),$E$1="altes Jahr")</formula>
    </cfRule>
    <cfRule type="expression" dxfId="878" priority="18" stopIfTrue="1">
      <formula>AND(NOT(OR(ISBLANK($A5),$A5="Summe ")),WEEKDAY($E$3,2)&gt;5)</formula>
    </cfRule>
  </conditionalFormatting>
  <conditionalFormatting sqref="G5:H30">
    <cfRule type="expression" dxfId="877" priority="13" stopIfTrue="1">
      <formula>AND(NOT(OR(ISBLANK($A5),$A5="Summe ")),$G$1="altes Jahr")</formula>
    </cfRule>
    <cfRule type="expression" dxfId="876" priority="15" stopIfTrue="1">
      <formula>AND(NOT(OR(ISBLANK($A5),$A5="Summe ")),WEEKDAY($G$3,2)&gt;5)</formula>
    </cfRule>
  </conditionalFormatting>
  <conditionalFormatting sqref="I5:J30">
    <cfRule type="expression" dxfId="875" priority="10" stopIfTrue="1">
      <formula>AND(NOT(OR(ISBLANK($A5),$A5="Summe ")),$I$1="altes Jahr")</formula>
    </cfRule>
    <cfRule type="expression" dxfId="874" priority="12" stopIfTrue="1">
      <formula>AND(NOT(OR(ISBLANK($A5),$A5="Summe ")),WEEKDAY($I$3,2)&gt;5)</formula>
    </cfRule>
  </conditionalFormatting>
  <conditionalFormatting sqref="K5:L30">
    <cfRule type="expression" dxfId="873" priority="7" stopIfTrue="1">
      <formula>AND(NOT(OR(ISBLANK($A5),$A5="Summe ")),$K$1="altes Jahr")</formula>
    </cfRule>
    <cfRule type="expression" dxfId="872" priority="9" stopIfTrue="1">
      <formula>AND(NOT(OR(ISBLANK($A5),$A5="Summe ")),WEEKDAY($K$3,2)&gt;5)</formula>
    </cfRule>
  </conditionalFormatting>
  <conditionalFormatting sqref="M5:N30">
    <cfRule type="expression" dxfId="871" priority="4" stopIfTrue="1">
      <formula>AND(NOT(OR(ISBLANK($A5),$A5="Summe ")),$M$1="altes Jahr")</formula>
    </cfRule>
    <cfRule type="expression" dxfId="870" priority="6" stopIfTrue="1">
      <formula>AND(NOT(OR(ISBLANK($A5),$A5="Summe ")),WEEKDAY($M$3,2)&gt;5)</formula>
    </cfRule>
  </conditionalFormatting>
  <conditionalFormatting sqref="O5:P30">
    <cfRule type="expression" dxfId="869" priority="1" stopIfTrue="1">
      <formula>AND(NOT(OR(ISBLANK($A5),$A5="Summe ")),$O$1="altes Jahr")</formula>
    </cfRule>
    <cfRule type="expression" dxfId="868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F3A9C49B-4212-40CC-BA07-735E0240E930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4E05FDDC-2E58-4CCC-81CA-E8427D7947C0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CD2D0AAB-C618-4B80-A2DF-A05CB488E489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C0D614B4-53D6-4911-ACA1-DC43F565FFF1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648A72B1-06E9-4D41-9998-A16110845DBC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AB0B9C76-667A-4C25-81A4-FAFCCE029366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8782B1E4-856F-46BB-A2A3-AEE25C7D713B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7"/>
  <dimension ref="A1:U37"/>
  <sheetViews>
    <sheetView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C2" s="122">
        <f>YEAR(C3)</f>
        <v>2021</v>
      </c>
      <c r="D2" s="119" t="str">
        <f>IFERROR(VLOOKUP(C3,Start!$F$2:$G$22,2,0),"")</f>
        <v>Ostermontag</v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78" t="s">
        <v>20</v>
      </c>
      <c r="B3" s="182" t="s">
        <v>21</v>
      </c>
      <c r="C3" s="91">
        <f>'KW 1'!$C$3+91</f>
        <v>44291</v>
      </c>
      <c r="D3" s="92">
        <f>C3</f>
        <v>44291</v>
      </c>
      <c r="E3" s="91">
        <f>C3+1</f>
        <v>44292</v>
      </c>
      <c r="F3" s="92">
        <f>E3</f>
        <v>44292</v>
      </c>
      <c r="G3" s="91">
        <f>C3+2</f>
        <v>44293</v>
      </c>
      <c r="H3" s="92">
        <f>G3</f>
        <v>44293</v>
      </c>
      <c r="I3" s="91">
        <f>C3+3</f>
        <v>44294</v>
      </c>
      <c r="J3" s="92">
        <f>I3</f>
        <v>44294</v>
      </c>
      <c r="K3" s="91">
        <f>C3+4</f>
        <v>44295</v>
      </c>
      <c r="L3" s="92">
        <f>K3</f>
        <v>44295</v>
      </c>
      <c r="M3" s="91">
        <f>C3+5</f>
        <v>44296</v>
      </c>
      <c r="N3" s="92">
        <f>M3</f>
        <v>44296</v>
      </c>
      <c r="O3" s="91">
        <f>C3+6</f>
        <v>44297</v>
      </c>
      <c r="P3" s="92">
        <f>O3</f>
        <v>44297</v>
      </c>
      <c r="Q3" s="14" t="s">
        <v>0</v>
      </c>
      <c r="R3" s="15" t="s">
        <v>0</v>
      </c>
      <c r="S3" s="178" t="s">
        <v>1</v>
      </c>
      <c r="T3" s="178" t="s">
        <v>2</v>
      </c>
      <c r="U3" s="176" t="s">
        <v>4</v>
      </c>
    </row>
    <row r="4" spans="1:21" ht="15.75" thickBot="1" x14ac:dyDescent="0.3">
      <c r="A4" s="179"/>
      <c r="B4" s="183"/>
      <c r="C4" s="17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77"/>
    </row>
    <row r="5" spans="1:21" x14ac:dyDescent="0.25">
      <c r="A5" s="19" t="str">
        <f>Start!A5</f>
        <v>Postbearbeitung Bestand</v>
      </c>
      <c r="B5" s="134">
        <f>'KW 13'!S5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5">
        <f>'KW 13'!S6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6">
        <f>'KW 13'!S7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4">
        <f>'KW 13'!S9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5">
        <f>'KW 13'!S10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5">
        <f>'KW 13'!S11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6">
        <f>'KW 13'!S12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38"/>
      <c r="C13" s="38"/>
      <c r="D13" s="3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5">
        <f>'KW 13'!S14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5">
        <f>'KW 13'!S15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38"/>
      <c r="C16" s="127"/>
      <c r="D16" s="127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5">
        <f>'KW 13'!S17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1"/>
      <c r="C19" s="128"/>
      <c r="D19" s="128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39">
        <f>'KW 13'!S20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4">
        <f>'KW 13'!S22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5">
        <f>'KW 13'!S23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6">
        <f>'KW 13'!S24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4">
        <f>'KW 13'!S26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5">
        <f>'KW 13'!S27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6">
        <f>'KW 13'!S28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39">
        <f>'KW 13'!S30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C32" s="129"/>
      <c r="D32" s="129"/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4">
        <f>'KW 13'!S35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D30">
    <cfRule type="expression" dxfId="860" priority="19" stopIfTrue="1">
      <formula>AND(NOT(OR(ISBLANK($A5),$A5="Summe ")),$C$1="altes Jahr")</formula>
    </cfRule>
    <cfRule type="expression" dxfId="859" priority="21" stopIfTrue="1">
      <formula>AND(NOT(OR(ISBLANK($A5),$A5="Summe ")),WEEKDAY($C$3,2)&gt;5)</formula>
    </cfRule>
  </conditionalFormatting>
  <conditionalFormatting sqref="E5:F30">
    <cfRule type="expression" dxfId="858" priority="16" stopIfTrue="1">
      <formula>AND(NOT(OR(ISBLANK($A5),$A5="Summe ")),$E$1="altes Jahr")</formula>
    </cfRule>
    <cfRule type="expression" dxfId="857" priority="18" stopIfTrue="1">
      <formula>AND(NOT(OR(ISBLANK($A5),$A5="Summe ")),WEEKDAY($E$3,2)&gt;5)</formula>
    </cfRule>
  </conditionalFormatting>
  <conditionalFormatting sqref="G5:H30">
    <cfRule type="expression" dxfId="856" priority="13" stopIfTrue="1">
      <formula>AND(NOT(OR(ISBLANK($A5),$A5="Summe ")),$G$1="altes Jahr")</formula>
    </cfRule>
    <cfRule type="expression" dxfId="855" priority="15" stopIfTrue="1">
      <formula>AND(NOT(OR(ISBLANK($A5),$A5="Summe ")),WEEKDAY($G$3,2)&gt;5)</formula>
    </cfRule>
  </conditionalFormatting>
  <conditionalFormatting sqref="I5:J30">
    <cfRule type="expression" dxfId="854" priority="10" stopIfTrue="1">
      <formula>AND(NOT(OR(ISBLANK($A5),$A5="Summe ")),$I$1="altes Jahr")</formula>
    </cfRule>
    <cfRule type="expression" dxfId="853" priority="12" stopIfTrue="1">
      <formula>AND(NOT(OR(ISBLANK($A5),$A5="Summe ")),WEEKDAY($I$3,2)&gt;5)</formula>
    </cfRule>
  </conditionalFormatting>
  <conditionalFormatting sqref="K5:L30">
    <cfRule type="expression" dxfId="852" priority="7" stopIfTrue="1">
      <formula>AND(NOT(OR(ISBLANK($A5),$A5="Summe ")),$K$1="altes Jahr")</formula>
    </cfRule>
    <cfRule type="expression" dxfId="851" priority="9" stopIfTrue="1">
      <formula>AND(NOT(OR(ISBLANK($A5),$A5="Summe ")),WEEKDAY($K$3,2)&gt;5)</formula>
    </cfRule>
  </conditionalFormatting>
  <conditionalFormatting sqref="M5:N30">
    <cfRule type="expression" dxfId="850" priority="4" stopIfTrue="1">
      <formula>AND(NOT(OR(ISBLANK($A5),$A5="Summe ")),$M$1="altes Jahr")</formula>
    </cfRule>
    <cfRule type="expression" dxfId="849" priority="6" stopIfTrue="1">
      <formula>AND(NOT(OR(ISBLANK($A5),$A5="Summe ")),WEEKDAY($M$3,2)&gt;5)</formula>
    </cfRule>
  </conditionalFormatting>
  <conditionalFormatting sqref="O5:P30">
    <cfRule type="expression" dxfId="848" priority="1" stopIfTrue="1">
      <formula>AND(NOT(OR(ISBLANK($A5),$A5="Summe ")),$O$1="altes Jahr")</formula>
    </cfRule>
    <cfRule type="expression" dxfId="847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182B671F-81F3-4694-ACB1-5C8A2F5F429C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C7E5D269-51DA-45C3-827B-FB01E1C79EBE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0DB72875-DCB8-4827-A8CF-D91784B72C65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D757B21D-4758-4C97-AB93-533925E5281B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D1D2AFCF-3BB4-4A44-862E-DE2321C634DA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F0E95F78-C7EC-48C5-8F39-855129307CB2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9EEBDA5A-81B0-4091-AB4F-B87C92915436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8"/>
  <dimension ref="A1:U37"/>
  <sheetViews>
    <sheetView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85546875" style="2" customWidth="1"/>
    <col min="17" max="18" width="9.7109375" style="2" customWidth="1"/>
    <col min="19" max="16384" width="10.5703125" style="2"/>
  </cols>
  <sheetData>
    <row r="1" spans="1:21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78" t="s">
        <v>20</v>
      </c>
      <c r="B3" s="182" t="s">
        <v>21</v>
      </c>
      <c r="C3" s="91">
        <f>'KW 1'!$C$3+98</f>
        <v>44298</v>
      </c>
      <c r="D3" s="92">
        <f>C3</f>
        <v>44298</v>
      </c>
      <c r="E3" s="91">
        <f>C3+1</f>
        <v>44299</v>
      </c>
      <c r="F3" s="92">
        <f>E3</f>
        <v>44299</v>
      </c>
      <c r="G3" s="91">
        <f>C3+2</f>
        <v>44300</v>
      </c>
      <c r="H3" s="92">
        <f>G3</f>
        <v>44300</v>
      </c>
      <c r="I3" s="91">
        <f>C3+3</f>
        <v>44301</v>
      </c>
      <c r="J3" s="92">
        <f>I3</f>
        <v>44301</v>
      </c>
      <c r="K3" s="91">
        <f>C3+4</f>
        <v>44302</v>
      </c>
      <c r="L3" s="92">
        <f>K3</f>
        <v>44302</v>
      </c>
      <c r="M3" s="91">
        <f>C3+5</f>
        <v>44303</v>
      </c>
      <c r="N3" s="92">
        <f>M3</f>
        <v>44303</v>
      </c>
      <c r="O3" s="91">
        <f>C3+6</f>
        <v>44304</v>
      </c>
      <c r="P3" s="92">
        <f>O3</f>
        <v>44304</v>
      </c>
      <c r="Q3" s="14" t="s">
        <v>0</v>
      </c>
      <c r="R3" s="15" t="s">
        <v>0</v>
      </c>
      <c r="S3" s="178" t="s">
        <v>1</v>
      </c>
      <c r="T3" s="178" t="s">
        <v>2</v>
      </c>
      <c r="U3" s="176" t="s">
        <v>4</v>
      </c>
    </row>
    <row r="4" spans="1:21" ht="15.75" thickBot="1" x14ac:dyDescent="0.3">
      <c r="A4" s="179"/>
      <c r="B4" s="183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77"/>
    </row>
    <row r="5" spans="1:21" x14ac:dyDescent="0.25">
      <c r="A5" s="19" t="str">
        <f>Start!A5</f>
        <v>Postbearbeitung Bestand</v>
      </c>
      <c r="B5" s="134">
        <f>'KW 14'!S5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5">
        <f>'KW 14'!S6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6">
        <f>'KW 14'!S7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5">
        <f>'KW 14'!S9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5">
        <f>'KW 14'!S10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5">
        <f>'KW 14'!S11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5">
        <f>'KW 14'!S12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5">
        <f>'KW 14'!S14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5">
        <f>'KW 14'!S15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5">
        <f>'KW 14'!S17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39">
        <f>'KW 14'!S20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4">
        <f>'KW 14'!S22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5">
        <f>'KW 14'!S23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6">
        <f>'KW 14'!S24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4">
        <f>'KW 14'!S26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5">
        <f>'KW 14'!S27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6">
        <f>'KW 14'!S28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39">
        <f>'KW 14'!S30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4">
        <f>'KW 14'!S35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D30">
    <cfRule type="expression" dxfId="839" priority="19" stopIfTrue="1">
      <formula>AND(NOT(OR(ISBLANK($A5),$A5="Summe ")),$C$1="altes Jahr")</formula>
    </cfRule>
    <cfRule type="expression" dxfId="838" priority="21" stopIfTrue="1">
      <formula>AND(NOT(OR(ISBLANK($A5),$A5="Summe ")),WEEKDAY($C$3,2)&gt;5)</formula>
    </cfRule>
  </conditionalFormatting>
  <conditionalFormatting sqref="E5:F30">
    <cfRule type="expression" dxfId="837" priority="16" stopIfTrue="1">
      <formula>AND(NOT(OR(ISBLANK($A5),$A5="Summe ")),$E$1="altes Jahr")</formula>
    </cfRule>
    <cfRule type="expression" dxfId="836" priority="18" stopIfTrue="1">
      <formula>AND(NOT(OR(ISBLANK($A5),$A5="Summe ")),WEEKDAY($E$3,2)&gt;5)</formula>
    </cfRule>
  </conditionalFormatting>
  <conditionalFormatting sqref="G5:H30">
    <cfRule type="expression" dxfId="835" priority="13" stopIfTrue="1">
      <formula>AND(NOT(OR(ISBLANK($A5),$A5="Summe ")),$G$1="altes Jahr")</formula>
    </cfRule>
    <cfRule type="expression" dxfId="834" priority="15" stopIfTrue="1">
      <formula>AND(NOT(OR(ISBLANK($A5),$A5="Summe ")),WEEKDAY($G$3,2)&gt;5)</formula>
    </cfRule>
  </conditionalFormatting>
  <conditionalFormatting sqref="I5:J30">
    <cfRule type="expression" dxfId="833" priority="10" stopIfTrue="1">
      <formula>AND(NOT(OR(ISBLANK($A5),$A5="Summe ")),$I$1="altes Jahr")</formula>
    </cfRule>
    <cfRule type="expression" dxfId="832" priority="12" stopIfTrue="1">
      <formula>AND(NOT(OR(ISBLANK($A5),$A5="Summe ")),WEEKDAY($I$3,2)&gt;5)</formula>
    </cfRule>
  </conditionalFormatting>
  <conditionalFormatting sqref="K5:L30">
    <cfRule type="expression" dxfId="831" priority="7" stopIfTrue="1">
      <formula>AND(NOT(OR(ISBLANK($A5),$A5="Summe ")),$K$1="altes Jahr")</formula>
    </cfRule>
    <cfRule type="expression" dxfId="830" priority="9" stopIfTrue="1">
      <formula>AND(NOT(OR(ISBLANK($A5),$A5="Summe ")),WEEKDAY($K$3,2)&gt;5)</formula>
    </cfRule>
  </conditionalFormatting>
  <conditionalFormatting sqref="M5:N30">
    <cfRule type="expression" dxfId="829" priority="4" stopIfTrue="1">
      <formula>AND(NOT(OR(ISBLANK($A5),$A5="Summe ")),$M$1="altes Jahr")</formula>
    </cfRule>
    <cfRule type="expression" dxfId="828" priority="6" stopIfTrue="1">
      <formula>AND(NOT(OR(ISBLANK($A5),$A5="Summe ")),WEEKDAY($M$3,2)&gt;5)</formula>
    </cfRule>
  </conditionalFormatting>
  <conditionalFormatting sqref="O5:P30">
    <cfRule type="expression" dxfId="827" priority="1" stopIfTrue="1">
      <formula>AND(NOT(OR(ISBLANK($A5),$A5="Summe ")),$O$1="altes Jahr")</formula>
    </cfRule>
    <cfRule type="expression" dxfId="826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ABA71892-C405-4052-8031-7A27BA33EC81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363977EC-8032-4ED8-A24A-17BDA5BC44A5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D19F7FFA-95D9-4BDB-9158-25C627E52859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76936747-0C20-4548-81BC-C8236770F632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CEFCE8A8-83D7-4C4D-B15C-99023AF81CE3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876A42EC-A6D3-44FD-B883-C261D7B38D10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5523BF3E-65AC-47D6-A1B0-80F11996B14F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9"/>
  <dimension ref="A1:U37"/>
  <sheetViews>
    <sheetView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78" t="s">
        <v>20</v>
      </c>
      <c r="B3" s="182" t="s">
        <v>21</v>
      </c>
      <c r="C3" s="91">
        <f>'KW 1'!$C$3+105</f>
        <v>44305</v>
      </c>
      <c r="D3" s="92">
        <f>C3</f>
        <v>44305</v>
      </c>
      <c r="E3" s="91">
        <f>C3+1</f>
        <v>44306</v>
      </c>
      <c r="F3" s="92">
        <f>E3</f>
        <v>44306</v>
      </c>
      <c r="G3" s="91">
        <f>C3+2</f>
        <v>44307</v>
      </c>
      <c r="H3" s="92">
        <f>G3</f>
        <v>44307</v>
      </c>
      <c r="I3" s="91">
        <f>C3+3</f>
        <v>44308</v>
      </c>
      <c r="J3" s="92">
        <f>I3</f>
        <v>44308</v>
      </c>
      <c r="K3" s="91">
        <f>C3+4</f>
        <v>44309</v>
      </c>
      <c r="L3" s="92">
        <f>K3</f>
        <v>44309</v>
      </c>
      <c r="M3" s="91">
        <f>C3+5</f>
        <v>44310</v>
      </c>
      <c r="N3" s="92">
        <f>M3</f>
        <v>44310</v>
      </c>
      <c r="O3" s="91">
        <f>C3+6</f>
        <v>44311</v>
      </c>
      <c r="P3" s="92">
        <f>O3</f>
        <v>44311</v>
      </c>
      <c r="Q3" s="14" t="s">
        <v>0</v>
      </c>
      <c r="R3" s="15" t="s">
        <v>0</v>
      </c>
      <c r="S3" s="178" t="s">
        <v>1</v>
      </c>
      <c r="T3" s="178" t="s">
        <v>2</v>
      </c>
      <c r="U3" s="176" t="s">
        <v>4</v>
      </c>
    </row>
    <row r="4" spans="1:21" ht="15.75" thickBot="1" x14ac:dyDescent="0.3">
      <c r="A4" s="179"/>
      <c r="B4" s="183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77"/>
    </row>
    <row r="5" spans="1:21" x14ac:dyDescent="0.25">
      <c r="A5" s="19" t="str">
        <f>Start!A5</f>
        <v>Postbearbeitung Bestand</v>
      </c>
      <c r="B5" s="134">
        <f>'KW 15'!S5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5">
        <f>'KW 15'!S6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6">
        <f>'KW 15'!S7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5">
        <f>'KW 15'!S9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5">
        <f>'KW 15'!S10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5">
        <f>'KW 15'!S11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5">
        <f>'KW 15'!S12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5">
        <f>'KW 15'!S14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5">
        <f>'KW 15'!S15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5">
        <f>'KW 15'!S17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39">
        <f>'KW 15'!S20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4">
        <f>'KW 15'!S22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5">
        <f>'KW 15'!S23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6">
        <f>'KW 15'!S24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4">
        <f>'KW 15'!S26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5">
        <f>'KW 15'!S27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6">
        <f>'KW 15'!S28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39">
        <f>'KW 15'!S30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4">
        <f>'KW 15'!S35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D30">
    <cfRule type="expression" dxfId="818" priority="19" stopIfTrue="1">
      <formula>AND(NOT(OR(ISBLANK($A5),$A5="Summe ")),$C$1="altes Jahr")</formula>
    </cfRule>
    <cfRule type="expression" dxfId="817" priority="21" stopIfTrue="1">
      <formula>AND(NOT(OR(ISBLANK($A5),$A5="Summe ")),WEEKDAY($C$3,2)&gt;5)</formula>
    </cfRule>
  </conditionalFormatting>
  <conditionalFormatting sqref="E5:F30">
    <cfRule type="expression" dxfId="816" priority="16" stopIfTrue="1">
      <formula>AND(NOT(OR(ISBLANK($A5),$A5="Summe ")),$E$1="altes Jahr")</formula>
    </cfRule>
    <cfRule type="expression" dxfId="815" priority="18" stopIfTrue="1">
      <formula>AND(NOT(OR(ISBLANK($A5),$A5="Summe ")),WEEKDAY($E$3,2)&gt;5)</formula>
    </cfRule>
  </conditionalFormatting>
  <conditionalFormatting sqref="G5:H30">
    <cfRule type="expression" dxfId="814" priority="13" stopIfTrue="1">
      <formula>AND(NOT(OR(ISBLANK($A5),$A5="Summe ")),$G$1="altes Jahr")</formula>
    </cfRule>
    <cfRule type="expression" dxfId="813" priority="15" stopIfTrue="1">
      <formula>AND(NOT(OR(ISBLANK($A5),$A5="Summe ")),WEEKDAY($G$3,2)&gt;5)</formula>
    </cfRule>
  </conditionalFormatting>
  <conditionalFormatting sqref="I5:J30">
    <cfRule type="expression" dxfId="812" priority="10" stopIfTrue="1">
      <formula>AND(NOT(OR(ISBLANK($A5),$A5="Summe ")),$I$1="altes Jahr")</formula>
    </cfRule>
    <cfRule type="expression" dxfId="811" priority="12" stopIfTrue="1">
      <formula>AND(NOT(OR(ISBLANK($A5),$A5="Summe ")),WEEKDAY($I$3,2)&gt;5)</formula>
    </cfRule>
  </conditionalFormatting>
  <conditionalFormatting sqref="K5:L30">
    <cfRule type="expression" dxfId="810" priority="7" stopIfTrue="1">
      <formula>AND(NOT(OR(ISBLANK($A5),$A5="Summe ")),$K$1="altes Jahr")</formula>
    </cfRule>
    <cfRule type="expression" dxfId="809" priority="9" stopIfTrue="1">
      <formula>AND(NOT(OR(ISBLANK($A5),$A5="Summe ")),WEEKDAY($K$3,2)&gt;5)</formula>
    </cfRule>
  </conditionalFormatting>
  <conditionalFormatting sqref="M5:N30">
    <cfRule type="expression" dxfId="808" priority="4" stopIfTrue="1">
      <formula>AND(NOT(OR(ISBLANK($A5),$A5="Summe ")),$M$1="altes Jahr")</formula>
    </cfRule>
    <cfRule type="expression" dxfId="807" priority="6" stopIfTrue="1">
      <formula>AND(NOT(OR(ISBLANK($A5),$A5="Summe ")),WEEKDAY($M$3,2)&gt;5)</formula>
    </cfRule>
  </conditionalFormatting>
  <conditionalFormatting sqref="O5:P30">
    <cfRule type="expression" dxfId="806" priority="1" stopIfTrue="1">
      <formula>AND(NOT(OR(ISBLANK($A5),$A5="Summe ")),$O$1="altes Jahr")</formula>
    </cfRule>
    <cfRule type="expression" dxfId="805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2855DF1B-25BE-4187-8B18-B90E29DDE198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FE973A20-E86B-426B-A65B-B870B81234CD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1E0032F8-C82D-4E32-9DC0-FC67C27D81E8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D0C9EF58-0EFF-4BC1-9FAF-4E2679191508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A3412743-4BFF-475F-BD43-C9F140EC0ACA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943458C2-5256-44C8-AC7C-8B1F5C6C84C3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15059E7C-48EE-4276-8D14-0689585655F0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W139"/>
  <sheetViews>
    <sheetView workbookViewId="0"/>
  </sheetViews>
  <sheetFormatPr baseColWidth="10" defaultColWidth="10.5703125" defaultRowHeight="15" x14ac:dyDescent="0.25"/>
  <cols>
    <col min="1" max="1" width="10.5703125" style="2"/>
    <col min="2" max="2" width="5.5703125" style="2" customWidth="1"/>
    <col min="3" max="3" width="3.5703125" style="1" bestFit="1" customWidth="1"/>
    <col min="4" max="4" width="9" style="2" customWidth="1"/>
    <col min="5" max="5" width="2.5703125" style="2" customWidth="1"/>
    <col min="6" max="6" width="13.5703125" style="2" bestFit="1" customWidth="1"/>
    <col min="7" max="7" width="10.5703125" style="2"/>
    <col min="8" max="8" width="2.5703125" style="2" customWidth="1"/>
    <col min="9" max="9" width="10.5703125" style="2"/>
    <col min="10" max="10" width="5" style="2" bestFit="1" customWidth="1"/>
    <col min="11" max="11" width="3.42578125" style="2" customWidth="1"/>
    <col min="12" max="12" width="9" style="2" customWidth="1"/>
    <col min="13" max="13" width="2.5703125" style="2" customWidth="1"/>
    <col min="14" max="14" width="13.28515625" style="2" bestFit="1" customWidth="1"/>
    <col min="15" max="15" width="10.5703125" style="2"/>
    <col min="16" max="16" width="2.5703125" style="2" customWidth="1"/>
    <col min="17" max="17" width="10.5703125" style="2"/>
    <col min="18" max="18" width="5" style="2" bestFit="1" customWidth="1"/>
    <col min="19" max="19" width="3.5703125" style="2" customWidth="1"/>
    <col min="20" max="20" width="10.5703125" style="2"/>
    <col min="21" max="21" width="2.5703125" style="2" customWidth="1"/>
    <col min="22" max="22" width="13.5703125" style="2" bestFit="1" customWidth="1"/>
    <col min="23" max="16384" width="10.5703125" style="2"/>
  </cols>
  <sheetData>
    <row r="1" spans="1:23" ht="15.75" thickBot="1" x14ac:dyDescent="0.3">
      <c r="A1" s="75" t="s">
        <v>47</v>
      </c>
      <c r="B1" s="75">
        <f>Start!B1</f>
        <v>2021</v>
      </c>
      <c r="C1" s="7"/>
      <c r="D1" s="75"/>
      <c r="I1" s="75" t="s">
        <v>53</v>
      </c>
      <c r="J1" s="75">
        <f>$B$1</f>
        <v>2021</v>
      </c>
      <c r="K1" s="7"/>
      <c r="L1" s="75"/>
      <c r="Q1" s="75" t="s">
        <v>55</v>
      </c>
      <c r="R1" s="75">
        <f>$B$1</f>
        <v>2021</v>
      </c>
      <c r="S1" s="7"/>
      <c r="T1" s="75"/>
    </row>
    <row r="2" spans="1:23" x14ac:dyDescent="0.25">
      <c r="A2" s="76" t="s">
        <v>40</v>
      </c>
      <c r="B2" s="77" t="s">
        <v>48</v>
      </c>
      <c r="C2" s="77" t="s">
        <v>49</v>
      </c>
      <c r="D2" s="78" t="s">
        <v>50</v>
      </c>
      <c r="F2" s="76" t="s">
        <v>52</v>
      </c>
      <c r="G2" s="88">
        <f>SUMIF($C$3:$C$33,"53",$D$3:$D$33)</f>
        <v>0</v>
      </c>
      <c r="I2" s="76" t="s">
        <v>40</v>
      </c>
      <c r="J2" s="77" t="s">
        <v>48</v>
      </c>
      <c r="K2" s="77" t="s">
        <v>49</v>
      </c>
      <c r="L2" s="78" t="s">
        <v>50</v>
      </c>
      <c r="N2" s="76" t="s">
        <v>90</v>
      </c>
      <c r="O2" s="88">
        <f>SUMIF($K$3:$K$33,"5",$L$3:$L$33)</f>
        <v>0</v>
      </c>
      <c r="Q2" s="76" t="s">
        <v>40</v>
      </c>
      <c r="R2" s="77" t="s">
        <v>48</v>
      </c>
      <c r="S2" s="77" t="s">
        <v>49</v>
      </c>
      <c r="T2" s="78" t="s">
        <v>50</v>
      </c>
      <c r="V2" s="76" t="s">
        <v>89</v>
      </c>
      <c r="W2" s="88">
        <f>SUMIF($S$3:$S$33,"9",$T$3:$T$33)</f>
        <v>0</v>
      </c>
    </row>
    <row r="3" spans="1:23" x14ac:dyDescent="0.25">
      <c r="A3" s="150">
        <f>DATE(B1,1,1)</f>
        <v>44197</v>
      </c>
      <c r="B3" s="151">
        <f>A3</f>
        <v>44197</v>
      </c>
      <c r="C3" s="152">
        <f>IF(A3="","",WEEKNUM(A3,21))</f>
        <v>53</v>
      </c>
      <c r="D3" s="94">
        <f>'alt KW 53'!$L$33</f>
        <v>0</v>
      </c>
      <c r="F3" s="89" t="s">
        <v>94</v>
      </c>
      <c r="G3" s="82">
        <f>SUMIF($C$3:$C$33,"1",$D$3:$D$33)</f>
        <v>0</v>
      </c>
      <c r="I3" s="79">
        <f>DATE(J1,2,1)</f>
        <v>44228</v>
      </c>
      <c r="J3" s="80">
        <f>I3</f>
        <v>44228</v>
      </c>
      <c r="K3" s="81">
        <f>IF(I3="","",WEEKNUM(I3,21))</f>
        <v>5</v>
      </c>
      <c r="L3" s="82">
        <f>'KW 5'!$D$33</f>
        <v>0</v>
      </c>
      <c r="N3" s="89" t="s">
        <v>91</v>
      </c>
      <c r="O3" s="82">
        <f>SUMIF($K$3:$K$33,"6",$L$3:$L$33)</f>
        <v>0</v>
      </c>
      <c r="Q3" s="79">
        <f>DATE(R1,3,1)</f>
        <v>44256</v>
      </c>
      <c r="R3" s="80">
        <f>Q3</f>
        <v>44256</v>
      </c>
      <c r="S3" s="81">
        <f>IF(Q3="","",WEEKNUM(Q3,21))</f>
        <v>9</v>
      </c>
      <c r="T3" s="82">
        <f>'KW 9'!$D$33</f>
        <v>0</v>
      </c>
      <c r="V3" s="89" t="s">
        <v>56</v>
      </c>
      <c r="W3" s="82">
        <f>SUMIF($S$3:$S$33,"10",$T$3:$T$33)</f>
        <v>0</v>
      </c>
    </row>
    <row r="4" spans="1:23" x14ac:dyDescent="0.25">
      <c r="A4" s="79">
        <f>IFERROR(IF(MONTH(A3+1)=MONTH(A$3),A3+1,""),"")</f>
        <v>44198</v>
      </c>
      <c r="B4" s="80">
        <f t="shared" ref="B4:B33" si="0">A4</f>
        <v>44198</v>
      </c>
      <c r="C4" s="81">
        <f t="shared" ref="C4:C33" si="1">IF(A4="","",WEEKNUM(A4,21))</f>
        <v>53</v>
      </c>
      <c r="D4" s="82">
        <f>'alt KW 53'!$N$33</f>
        <v>0</v>
      </c>
      <c r="F4" s="89" t="s">
        <v>95</v>
      </c>
      <c r="G4" s="82">
        <f>SUMIF($C$3:$C$33,"2",$D$3:$D$33)</f>
        <v>0</v>
      </c>
      <c r="I4" s="79">
        <f>IFERROR(IF(MONTH(I3+1)=MONTH(I$3),I3+1,""),"")</f>
        <v>44229</v>
      </c>
      <c r="J4" s="80">
        <f t="shared" ref="J4:J33" si="2">I4</f>
        <v>44229</v>
      </c>
      <c r="K4" s="81">
        <f t="shared" ref="K4:K33" si="3">IF(I4="","",WEEKNUM(I4,21))</f>
        <v>5</v>
      </c>
      <c r="L4" s="82">
        <f>'KW 5'!$F$33</f>
        <v>0</v>
      </c>
      <c r="N4" s="89" t="s">
        <v>92</v>
      </c>
      <c r="O4" s="82">
        <f>SUMIF($K$3:$K$33,"7",$L$3:$L$33)</f>
        <v>0</v>
      </c>
      <c r="Q4" s="79">
        <f>IFERROR(IF(MONTH(Q3+1)=MONTH(Q$3),Q3+1,""),"")</f>
        <v>44257</v>
      </c>
      <c r="R4" s="80">
        <f t="shared" ref="R4:R33" si="4">Q4</f>
        <v>44257</v>
      </c>
      <c r="S4" s="81">
        <f t="shared" ref="S4:S33" si="5">IF(Q4="","",WEEKNUM(Q4,21))</f>
        <v>9</v>
      </c>
      <c r="T4" s="82">
        <f>'KW 9'!$F$33</f>
        <v>0</v>
      </c>
      <c r="V4" s="89" t="s">
        <v>57</v>
      </c>
      <c r="W4" s="82">
        <f>SUMIF($S$3:$S$33,"11",$T$3:$T$33)</f>
        <v>0</v>
      </c>
    </row>
    <row r="5" spans="1:23" x14ac:dyDescent="0.25">
      <c r="A5" s="79">
        <f t="shared" ref="A5:A33" si="6">IFERROR(IF(MONTH(A4+1)=MONTH(A$3),A4+1,""),"")</f>
        <v>44199</v>
      </c>
      <c r="B5" s="80">
        <f t="shared" si="0"/>
        <v>44199</v>
      </c>
      <c r="C5" s="81">
        <f t="shared" si="1"/>
        <v>53</v>
      </c>
      <c r="D5" s="82">
        <f>'alt KW 53'!$P$33</f>
        <v>0</v>
      </c>
      <c r="F5" s="89" t="s">
        <v>96</v>
      </c>
      <c r="G5" s="82">
        <f>SUMIF($C$3:$C$33,"3",$D$3:$D$33)</f>
        <v>0</v>
      </c>
      <c r="I5" s="79">
        <f t="shared" ref="I5:I33" si="7">IFERROR(IF(MONTH(I4+1)=MONTH(I$3),I4+1,""),"")</f>
        <v>44230</v>
      </c>
      <c r="J5" s="80">
        <f t="shared" si="2"/>
        <v>44230</v>
      </c>
      <c r="K5" s="81">
        <f t="shared" si="3"/>
        <v>5</v>
      </c>
      <c r="L5" s="82">
        <f>'KW 5'!$H$33</f>
        <v>0</v>
      </c>
      <c r="N5" s="89" t="s">
        <v>93</v>
      </c>
      <c r="O5" s="82">
        <f>SUMIF($K$3:$K$33,"8",$L$3:$L$33)</f>
        <v>0</v>
      </c>
      <c r="Q5" s="79">
        <f t="shared" ref="Q5:Q33" si="8">IFERROR(IF(MONTH(Q4+1)=MONTH(Q$3),Q4+1,""),"")</f>
        <v>44258</v>
      </c>
      <c r="R5" s="80">
        <f t="shared" si="4"/>
        <v>44258</v>
      </c>
      <c r="S5" s="81">
        <f t="shared" si="5"/>
        <v>9</v>
      </c>
      <c r="T5" s="82">
        <f>'KW 9'!$H$33</f>
        <v>0</v>
      </c>
      <c r="V5" s="89" t="s">
        <v>58</v>
      </c>
      <c r="W5" s="82">
        <f>SUMIF($S$3:$S$33,"12",$T$3:$T$33)</f>
        <v>0</v>
      </c>
    </row>
    <row r="6" spans="1:23" x14ac:dyDescent="0.25">
      <c r="A6" s="79">
        <f t="shared" si="6"/>
        <v>44200</v>
      </c>
      <c r="B6" s="80">
        <f t="shared" si="0"/>
        <v>44200</v>
      </c>
      <c r="C6" s="81">
        <f t="shared" si="1"/>
        <v>1</v>
      </c>
      <c r="D6" s="82">
        <f>'KW 1'!$D$33</f>
        <v>0</v>
      </c>
      <c r="F6" s="89" t="s">
        <v>97</v>
      </c>
      <c r="G6" s="82">
        <f>SUMIF($C$3:$C$33,"4",$D$3:$D$33)</f>
        <v>0</v>
      </c>
      <c r="I6" s="79">
        <f t="shared" si="7"/>
        <v>44231</v>
      </c>
      <c r="J6" s="80">
        <f t="shared" si="2"/>
        <v>44231</v>
      </c>
      <c r="K6" s="81">
        <f t="shared" si="3"/>
        <v>5</v>
      </c>
      <c r="L6" s="82">
        <f>'KW 5'!$J$33</f>
        <v>0</v>
      </c>
      <c r="N6" s="89" t="s">
        <v>89</v>
      </c>
      <c r="O6" s="82">
        <f>SUMIF($K$3:$K$33,"9",$L$3:$L$33)</f>
        <v>0</v>
      </c>
      <c r="Q6" s="79">
        <f t="shared" si="8"/>
        <v>44259</v>
      </c>
      <c r="R6" s="80">
        <f t="shared" si="4"/>
        <v>44259</v>
      </c>
      <c r="S6" s="81">
        <f t="shared" si="5"/>
        <v>9</v>
      </c>
      <c r="T6" s="82">
        <f>'KW 9'!$J$33</f>
        <v>0</v>
      </c>
      <c r="V6" s="89" t="s">
        <v>59</v>
      </c>
      <c r="W6" s="82">
        <f>SUMIF($S$3:$S$33,"13",$T$3:$T$33)</f>
        <v>0</v>
      </c>
    </row>
    <row r="7" spans="1:23" ht="15.75" thickBot="1" x14ac:dyDescent="0.3">
      <c r="A7" s="79">
        <f t="shared" si="6"/>
        <v>44201</v>
      </c>
      <c r="B7" s="80">
        <f t="shared" si="0"/>
        <v>44201</v>
      </c>
      <c r="C7" s="81">
        <f t="shared" si="1"/>
        <v>1</v>
      </c>
      <c r="D7" s="82">
        <f>'KW 1'!$F$33</f>
        <v>0</v>
      </c>
      <c r="F7" s="90" t="s">
        <v>90</v>
      </c>
      <c r="G7" s="83">
        <f>SUMIF($C$3:$C$33,"5",$D$3:$D$33)</f>
        <v>0</v>
      </c>
      <c r="I7" s="79">
        <f t="shared" si="7"/>
        <v>44232</v>
      </c>
      <c r="J7" s="80">
        <f t="shared" si="2"/>
        <v>44232</v>
      </c>
      <c r="K7" s="81">
        <f t="shared" si="3"/>
        <v>5</v>
      </c>
      <c r="L7" s="82">
        <f>'KW 5'!$L$33</f>
        <v>0</v>
      </c>
      <c r="N7" s="90" t="s">
        <v>56</v>
      </c>
      <c r="O7" s="83">
        <f>SUMIF($K$3:$K$33,"10",$L$3:$L$33)</f>
        <v>0</v>
      </c>
      <c r="Q7" s="79">
        <f t="shared" si="8"/>
        <v>44260</v>
      </c>
      <c r="R7" s="80">
        <f t="shared" si="4"/>
        <v>44260</v>
      </c>
      <c r="S7" s="81">
        <f t="shared" si="5"/>
        <v>9</v>
      </c>
      <c r="T7" s="82">
        <f>'KW 9'!$L$33</f>
        <v>0</v>
      </c>
      <c r="V7" s="90" t="s">
        <v>80</v>
      </c>
      <c r="W7" s="83">
        <f>SUMIF($S$3:$S$33,"14",$T$3:$T$33)</f>
        <v>0</v>
      </c>
    </row>
    <row r="8" spans="1:23" x14ac:dyDescent="0.25">
      <c r="A8" s="79">
        <f t="shared" si="6"/>
        <v>44202</v>
      </c>
      <c r="B8" s="80">
        <f t="shared" si="0"/>
        <v>44202</v>
      </c>
      <c r="C8" s="81">
        <f t="shared" si="1"/>
        <v>1</v>
      </c>
      <c r="D8" s="82">
        <f>'KW 1'!$H$33</f>
        <v>0</v>
      </c>
      <c r="I8" s="79">
        <f t="shared" si="7"/>
        <v>44233</v>
      </c>
      <c r="J8" s="80">
        <f t="shared" si="2"/>
        <v>44233</v>
      </c>
      <c r="K8" s="81">
        <f t="shared" si="3"/>
        <v>5</v>
      </c>
      <c r="L8" s="82">
        <f>'KW 5'!$N$33</f>
        <v>0</v>
      </c>
      <c r="N8" s="7"/>
      <c r="O8" s="93"/>
      <c r="Q8" s="79">
        <f t="shared" si="8"/>
        <v>44261</v>
      </c>
      <c r="R8" s="80">
        <f t="shared" si="4"/>
        <v>44261</v>
      </c>
      <c r="S8" s="81">
        <f t="shared" si="5"/>
        <v>9</v>
      </c>
      <c r="T8" s="82">
        <f>'KW 9'!$N$33</f>
        <v>0</v>
      </c>
      <c r="V8" s="7"/>
      <c r="W8" s="93"/>
    </row>
    <row r="9" spans="1:23" x14ac:dyDescent="0.25">
      <c r="A9" s="79">
        <f t="shared" si="6"/>
        <v>44203</v>
      </c>
      <c r="B9" s="80">
        <f t="shared" si="0"/>
        <v>44203</v>
      </c>
      <c r="C9" s="81">
        <f t="shared" si="1"/>
        <v>1</v>
      </c>
      <c r="D9" s="82">
        <f>'KW 1'!$J$33</f>
        <v>0</v>
      </c>
      <c r="F9" s="7" t="s">
        <v>0</v>
      </c>
      <c r="G9" s="93">
        <f>SUM(G2:G7)</f>
        <v>0</v>
      </c>
      <c r="I9" s="79">
        <f t="shared" si="7"/>
        <v>44234</v>
      </c>
      <c r="J9" s="80">
        <f t="shared" si="2"/>
        <v>44234</v>
      </c>
      <c r="K9" s="81">
        <f t="shared" si="3"/>
        <v>5</v>
      </c>
      <c r="L9" s="82">
        <f>'KW 5'!$P$33</f>
        <v>0</v>
      </c>
      <c r="N9" s="7" t="s">
        <v>0</v>
      </c>
      <c r="O9" s="93">
        <f>SUM(O2:O7)</f>
        <v>0</v>
      </c>
      <c r="Q9" s="79">
        <f t="shared" si="8"/>
        <v>44262</v>
      </c>
      <c r="R9" s="80">
        <f t="shared" si="4"/>
        <v>44262</v>
      </c>
      <c r="S9" s="81">
        <f t="shared" si="5"/>
        <v>9</v>
      </c>
      <c r="T9" s="82">
        <f>'KW 9'!$P$33</f>
        <v>0</v>
      </c>
      <c r="V9" s="7" t="s">
        <v>0</v>
      </c>
      <c r="W9" s="93">
        <f>SUM(W2:W7)</f>
        <v>0</v>
      </c>
    </row>
    <row r="10" spans="1:23" x14ac:dyDescent="0.25">
      <c r="A10" s="79">
        <f t="shared" si="6"/>
        <v>44204</v>
      </c>
      <c r="B10" s="80">
        <f t="shared" si="0"/>
        <v>44204</v>
      </c>
      <c r="C10" s="81">
        <f t="shared" si="1"/>
        <v>1</v>
      </c>
      <c r="D10" s="82">
        <f>'KW 1'!$L$33</f>
        <v>0</v>
      </c>
      <c r="I10" s="79">
        <f t="shared" si="7"/>
        <v>44235</v>
      </c>
      <c r="J10" s="80">
        <f t="shared" si="2"/>
        <v>44235</v>
      </c>
      <c r="K10" s="81">
        <f t="shared" si="3"/>
        <v>6</v>
      </c>
      <c r="L10" s="82">
        <f>'KW 6'!$D$33</f>
        <v>0</v>
      </c>
      <c r="Q10" s="79">
        <f t="shared" si="8"/>
        <v>44263</v>
      </c>
      <c r="R10" s="80">
        <f t="shared" si="4"/>
        <v>44263</v>
      </c>
      <c r="S10" s="81">
        <f t="shared" si="5"/>
        <v>10</v>
      </c>
      <c r="T10" s="82">
        <f>'KW 10'!$D$33</f>
        <v>0</v>
      </c>
    </row>
    <row r="11" spans="1:23" x14ac:dyDescent="0.25">
      <c r="A11" s="79">
        <f t="shared" si="6"/>
        <v>44205</v>
      </c>
      <c r="B11" s="80">
        <f t="shared" si="0"/>
        <v>44205</v>
      </c>
      <c r="C11" s="81">
        <f t="shared" si="1"/>
        <v>1</v>
      </c>
      <c r="D11" s="82">
        <f>'KW 1'!$N$33</f>
        <v>0</v>
      </c>
      <c r="I11" s="79">
        <f t="shared" si="7"/>
        <v>44236</v>
      </c>
      <c r="J11" s="80">
        <f t="shared" si="2"/>
        <v>44236</v>
      </c>
      <c r="K11" s="81">
        <f t="shared" si="3"/>
        <v>6</v>
      </c>
      <c r="L11" s="82">
        <f>'KW 6'!$F$33</f>
        <v>0</v>
      </c>
      <c r="Q11" s="79">
        <f t="shared" si="8"/>
        <v>44264</v>
      </c>
      <c r="R11" s="80">
        <f t="shared" si="4"/>
        <v>44264</v>
      </c>
      <c r="S11" s="81">
        <f t="shared" si="5"/>
        <v>10</v>
      </c>
      <c r="T11" s="82">
        <f>'KW 10'!$F$33</f>
        <v>0</v>
      </c>
    </row>
    <row r="12" spans="1:23" x14ac:dyDescent="0.25">
      <c r="A12" s="79">
        <f t="shared" si="6"/>
        <v>44206</v>
      </c>
      <c r="B12" s="80">
        <f t="shared" si="0"/>
        <v>44206</v>
      </c>
      <c r="C12" s="81">
        <f t="shared" si="1"/>
        <v>1</v>
      </c>
      <c r="D12" s="82">
        <f>'KW 1'!$P$33</f>
        <v>0</v>
      </c>
      <c r="I12" s="79">
        <f t="shared" si="7"/>
        <v>44237</v>
      </c>
      <c r="J12" s="80">
        <f t="shared" si="2"/>
        <v>44237</v>
      </c>
      <c r="K12" s="81">
        <f t="shared" si="3"/>
        <v>6</v>
      </c>
      <c r="L12" s="82">
        <f>'KW 6'!$H$33</f>
        <v>0</v>
      </c>
      <c r="Q12" s="79">
        <f t="shared" si="8"/>
        <v>44265</v>
      </c>
      <c r="R12" s="80">
        <f t="shared" si="4"/>
        <v>44265</v>
      </c>
      <c r="S12" s="81">
        <f t="shared" si="5"/>
        <v>10</v>
      </c>
      <c r="T12" s="82">
        <f>'KW 10'!$H$33</f>
        <v>0</v>
      </c>
    </row>
    <row r="13" spans="1:23" x14ac:dyDescent="0.25">
      <c r="A13" s="79">
        <f t="shared" si="6"/>
        <v>44207</v>
      </c>
      <c r="B13" s="80">
        <f t="shared" si="0"/>
        <v>44207</v>
      </c>
      <c r="C13" s="81">
        <f t="shared" si="1"/>
        <v>2</v>
      </c>
      <c r="D13" s="82">
        <f>'KW 2'!$D$33</f>
        <v>0</v>
      </c>
      <c r="I13" s="79">
        <f t="shared" si="7"/>
        <v>44238</v>
      </c>
      <c r="J13" s="80">
        <f t="shared" si="2"/>
        <v>44238</v>
      </c>
      <c r="K13" s="81">
        <f t="shared" si="3"/>
        <v>6</v>
      </c>
      <c r="L13" s="82">
        <f>'KW 6'!$J$33</f>
        <v>0</v>
      </c>
      <c r="Q13" s="79">
        <f t="shared" si="8"/>
        <v>44266</v>
      </c>
      <c r="R13" s="80">
        <f t="shared" si="4"/>
        <v>44266</v>
      </c>
      <c r="S13" s="81">
        <f t="shared" si="5"/>
        <v>10</v>
      </c>
      <c r="T13" s="82">
        <f>'KW 10'!$J$33</f>
        <v>0</v>
      </c>
    </row>
    <row r="14" spans="1:23" x14ac:dyDescent="0.25">
      <c r="A14" s="79">
        <f t="shared" si="6"/>
        <v>44208</v>
      </c>
      <c r="B14" s="80">
        <f t="shared" si="0"/>
        <v>44208</v>
      </c>
      <c r="C14" s="81">
        <f t="shared" si="1"/>
        <v>2</v>
      </c>
      <c r="D14" s="82">
        <f>'KW 2'!$F$33</f>
        <v>0</v>
      </c>
      <c r="I14" s="79">
        <f t="shared" si="7"/>
        <v>44239</v>
      </c>
      <c r="J14" s="80">
        <f t="shared" si="2"/>
        <v>44239</v>
      </c>
      <c r="K14" s="81">
        <f t="shared" si="3"/>
        <v>6</v>
      </c>
      <c r="L14" s="82">
        <f>'KW 6'!$L$33</f>
        <v>0</v>
      </c>
      <c r="Q14" s="79">
        <f t="shared" si="8"/>
        <v>44267</v>
      </c>
      <c r="R14" s="80">
        <f t="shared" si="4"/>
        <v>44267</v>
      </c>
      <c r="S14" s="81">
        <f t="shared" si="5"/>
        <v>10</v>
      </c>
      <c r="T14" s="82">
        <f>'KW 10'!$L$33</f>
        <v>0</v>
      </c>
    </row>
    <row r="15" spans="1:23" x14ac:dyDescent="0.25">
      <c r="A15" s="79">
        <f t="shared" si="6"/>
        <v>44209</v>
      </c>
      <c r="B15" s="80">
        <f t="shared" si="0"/>
        <v>44209</v>
      </c>
      <c r="C15" s="81">
        <f t="shared" si="1"/>
        <v>2</v>
      </c>
      <c r="D15" s="82">
        <f>'KW 2'!$H$33</f>
        <v>0</v>
      </c>
      <c r="I15" s="79">
        <f t="shared" si="7"/>
        <v>44240</v>
      </c>
      <c r="J15" s="80">
        <f t="shared" si="2"/>
        <v>44240</v>
      </c>
      <c r="K15" s="81">
        <f t="shared" si="3"/>
        <v>6</v>
      </c>
      <c r="L15" s="82">
        <f>'KW 6'!$N$33</f>
        <v>0</v>
      </c>
      <c r="Q15" s="79">
        <f t="shared" si="8"/>
        <v>44268</v>
      </c>
      <c r="R15" s="80">
        <f t="shared" si="4"/>
        <v>44268</v>
      </c>
      <c r="S15" s="81">
        <f t="shared" si="5"/>
        <v>10</v>
      </c>
      <c r="T15" s="82">
        <f>'KW 10'!$N$33</f>
        <v>0</v>
      </c>
    </row>
    <row r="16" spans="1:23" x14ac:dyDescent="0.25">
      <c r="A16" s="79">
        <f t="shared" si="6"/>
        <v>44210</v>
      </c>
      <c r="B16" s="80">
        <f t="shared" si="0"/>
        <v>44210</v>
      </c>
      <c r="C16" s="81">
        <f t="shared" si="1"/>
        <v>2</v>
      </c>
      <c r="D16" s="82">
        <f>'KW 2'!$J$33</f>
        <v>0</v>
      </c>
      <c r="I16" s="79">
        <f t="shared" si="7"/>
        <v>44241</v>
      </c>
      <c r="J16" s="80">
        <f t="shared" si="2"/>
        <v>44241</v>
      </c>
      <c r="K16" s="81">
        <f t="shared" si="3"/>
        <v>6</v>
      </c>
      <c r="L16" s="82">
        <f>'KW 6'!$P$33</f>
        <v>0</v>
      </c>
      <c r="Q16" s="79">
        <f t="shared" si="8"/>
        <v>44269</v>
      </c>
      <c r="R16" s="80">
        <f t="shared" si="4"/>
        <v>44269</v>
      </c>
      <c r="S16" s="81">
        <f t="shared" si="5"/>
        <v>10</v>
      </c>
      <c r="T16" s="82">
        <f>'KW 10'!$P$33</f>
        <v>0</v>
      </c>
    </row>
    <row r="17" spans="1:20" x14ac:dyDescent="0.25">
      <c r="A17" s="79">
        <f t="shared" si="6"/>
        <v>44211</v>
      </c>
      <c r="B17" s="80">
        <f t="shared" si="0"/>
        <v>44211</v>
      </c>
      <c r="C17" s="81">
        <f t="shared" si="1"/>
        <v>2</v>
      </c>
      <c r="D17" s="82">
        <f>'KW 2'!$L$33</f>
        <v>0</v>
      </c>
      <c r="I17" s="79">
        <f t="shared" si="7"/>
        <v>44242</v>
      </c>
      <c r="J17" s="80">
        <f t="shared" si="2"/>
        <v>44242</v>
      </c>
      <c r="K17" s="81">
        <f t="shared" si="3"/>
        <v>7</v>
      </c>
      <c r="L17" s="82">
        <f>'KW 7'!$D$33</f>
        <v>0</v>
      </c>
      <c r="Q17" s="79">
        <f t="shared" si="8"/>
        <v>44270</v>
      </c>
      <c r="R17" s="80">
        <f t="shared" si="4"/>
        <v>44270</v>
      </c>
      <c r="S17" s="81">
        <f t="shared" si="5"/>
        <v>11</v>
      </c>
      <c r="T17" s="82">
        <f>'KW 11'!$D$33</f>
        <v>0</v>
      </c>
    </row>
    <row r="18" spans="1:20" x14ac:dyDescent="0.25">
      <c r="A18" s="79">
        <f t="shared" si="6"/>
        <v>44212</v>
      </c>
      <c r="B18" s="80">
        <f t="shared" si="0"/>
        <v>44212</v>
      </c>
      <c r="C18" s="81">
        <f t="shared" si="1"/>
        <v>2</v>
      </c>
      <c r="D18" s="82">
        <f>'KW 2'!$N$33</f>
        <v>0</v>
      </c>
      <c r="I18" s="79">
        <f t="shared" si="7"/>
        <v>44243</v>
      </c>
      <c r="J18" s="80">
        <f t="shared" si="2"/>
        <v>44243</v>
      </c>
      <c r="K18" s="81">
        <f t="shared" si="3"/>
        <v>7</v>
      </c>
      <c r="L18" s="82">
        <f>'KW 7'!$F$33</f>
        <v>0</v>
      </c>
      <c r="Q18" s="79">
        <f t="shared" si="8"/>
        <v>44271</v>
      </c>
      <c r="R18" s="80">
        <f t="shared" si="4"/>
        <v>44271</v>
      </c>
      <c r="S18" s="81">
        <f t="shared" si="5"/>
        <v>11</v>
      </c>
      <c r="T18" s="82">
        <f>'KW 11'!$F$33</f>
        <v>0</v>
      </c>
    </row>
    <row r="19" spans="1:20" x14ac:dyDescent="0.25">
      <c r="A19" s="79">
        <f t="shared" si="6"/>
        <v>44213</v>
      </c>
      <c r="B19" s="80">
        <f t="shared" si="0"/>
        <v>44213</v>
      </c>
      <c r="C19" s="81">
        <f t="shared" si="1"/>
        <v>2</v>
      </c>
      <c r="D19" s="82">
        <f>'KW 2'!$P$33</f>
        <v>0</v>
      </c>
      <c r="I19" s="79">
        <f t="shared" si="7"/>
        <v>44244</v>
      </c>
      <c r="J19" s="80">
        <f t="shared" si="2"/>
        <v>44244</v>
      </c>
      <c r="K19" s="81">
        <f t="shared" si="3"/>
        <v>7</v>
      </c>
      <c r="L19" s="82">
        <f>'KW 7'!$H$33</f>
        <v>0</v>
      </c>
      <c r="Q19" s="79">
        <f t="shared" si="8"/>
        <v>44272</v>
      </c>
      <c r="R19" s="80">
        <f t="shared" si="4"/>
        <v>44272</v>
      </c>
      <c r="S19" s="81">
        <f t="shared" si="5"/>
        <v>11</v>
      </c>
      <c r="T19" s="82">
        <f>'KW 11'!$H$33</f>
        <v>0</v>
      </c>
    </row>
    <row r="20" spans="1:20" x14ac:dyDescent="0.25">
      <c r="A20" s="79">
        <f t="shared" si="6"/>
        <v>44214</v>
      </c>
      <c r="B20" s="80">
        <f t="shared" si="0"/>
        <v>44214</v>
      </c>
      <c r="C20" s="81">
        <f t="shared" si="1"/>
        <v>3</v>
      </c>
      <c r="D20" s="82">
        <f>'KW 3'!$D$33</f>
        <v>0</v>
      </c>
      <c r="I20" s="79">
        <f t="shared" si="7"/>
        <v>44245</v>
      </c>
      <c r="J20" s="80">
        <f t="shared" si="2"/>
        <v>44245</v>
      </c>
      <c r="K20" s="81">
        <f t="shared" si="3"/>
        <v>7</v>
      </c>
      <c r="L20" s="82">
        <f>'KW 7'!$J$33</f>
        <v>0</v>
      </c>
      <c r="Q20" s="79">
        <f t="shared" si="8"/>
        <v>44273</v>
      </c>
      <c r="R20" s="80">
        <f t="shared" si="4"/>
        <v>44273</v>
      </c>
      <c r="S20" s="81">
        <f t="shared" si="5"/>
        <v>11</v>
      </c>
      <c r="T20" s="82">
        <f>'KW 11'!$J$33</f>
        <v>0</v>
      </c>
    </row>
    <row r="21" spans="1:20" x14ac:dyDescent="0.25">
      <c r="A21" s="79">
        <f t="shared" si="6"/>
        <v>44215</v>
      </c>
      <c r="B21" s="80">
        <f t="shared" si="0"/>
        <v>44215</v>
      </c>
      <c r="C21" s="81">
        <f t="shared" si="1"/>
        <v>3</v>
      </c>
      <c r="D21" s="82">
        <f>'KW 3'!$F$33</f>
        <v>0</v>
      </c>
      <c r="I21" s="79">
        <f t="shared" si="7"/>
        <v>44246</v>
      </c>
      <c r="J21" s="80">
        <f t="shared" si="2"/>
        <v>44246</v>
      </c>
      <c r="K21" s="81">
        <f t="shared" si="3"/>
        <v>7</v>
      </c>
      <c r="L21" s="82">
        <f>'KW 7'!$L$33</f>
        <v>0</v>
      </c>
      <c r="Q21" s="79">
        <f t="shared" si="8"/>
        <v>44274</v>
      </c>
      <c r="R21" s="80">
        <f t="shared" si="4"/>
        <v>44274</v>
      </c>
      <c r="S21" s="81">
        <f t="shared" si="5"/>
        <v>11</v>
      </c>
      <c r="T21" s="82">
        <f>'KW 11'!$L$33</f>
        <v>0</v>
      </c>
    </row>
    <row r="22" spans="1:20" x14ac:dyDescent="0.25">
      <c r="A22" s="79">
        <f t="shared" si="6"/>
        <v>44216</v>
      </c>
      <c r="B22" s="80">
        <f t="shared" si="0"/>
        <v>44216</v>
      </c>
      <c r="C22" s="81">
        <f t="shared" si="1"/>
        <v>3</v>
      </c>
      <c r="D22" s="82">
        <f>'KW 3'!$H$33</f>
        <v>0</v>
      </c>
      <c r="I22" s="79">
        <f t="shared" si="7"/>
        <v>44247</v>
      </c>
      <c r="J22" s="80">
        <f t="shared" si="2"/>
        <v>44247</v>
      </c>
      <c r="K22" s="81">
        <f t="shared" si="3"/>
        <v>7</v>
      </c>
      <c r="L22" s="82">
        <f>'KW 7'!$N$33</f>
        <v>0</v>
      </c>
      <c r="Q22" s="79">
        <f t="shared" si="8"/>
        <v>44275</v>
      </c>
      <c r="R22" s="80">
        <f t="shared" si="4"/>
        <v>44275</v>
      </c>
      <c r="S22" s="81">
        <f t="shared" si="5"/>
        <v>11</v>
      </c>
      <c r="T22" s="82">
        <f>'KW 11'!$N$33</f>
        <v>0</v>
      </c>
    </row>
    <row r="23" spans="1:20" x14ac:dyDescent="0.25">
      <c r="A23" s="79">
        <f t="shared" si="6"/>
        <v>44217</v>
      </c>
      <c r="B23" s="80">
        <f t="shared" si="0"/>
        <v>44217</v>
      </c>
      <c r="C23" s="81">
        <f t="shared" si="1"/>
        <v>3</v>
      </c>
      <c r="D23" s="82">
        <f>'KW 3'!$J$33</f>
        <v>0</v>
      </c>
      <c r="I23" s="79">
        <f t="shared" si="7"/>
        <v>44248</v>
      </c>
      <c r="J23" s="80">
        <f t="shared" si="2"/>
        <v>44248</v>
      </c>
      <c r="K23" s="81">
        <f t="shared" si="3"/>
        <v>7</v>
      </c>
      <c r="L23" s="82">
        <f>'KW 7'!$P$33</f>
        <v>0</v>
      </c>
      <c r="Q23" s="79">
        <f t="shared" si="8"/>
        <v>44276</v>
      </c>
      <c r="R23" s="80">
        <f t="shared" si="4"/>
        <v>44276</v>
      </c>
      <c r="S23" s="81">
        <f t="shared" si="5"/>
        <v>11</v>
      </c>
      <c r="T23" s="82">
        <f>'KW 11'!$P$33</f>
        <v>0</v>
      </c>
    </row>
    <row r="24" spans="1:20" x14ac:dyDescent="0.25">
      <c r="A24" s="79">
        <f t="shared" si="6"/>
        <v>44218</v>
      </c>
      <c r="B24" s="80">
        <f t="shared" si="0"/>
        <v>44218</v>
      </c>
      <c r="C24" s="81">
        <f t="shared" si="1"/>
        <v>3</v>
      </c>
      <c r="D24" s="82">
        <f>'KW 3'!$L$33</f>
        <v>0</v>
      </c>
      <c r="I24" s="79">
        <f t="shared" si="7"/>
        <v>44249</v>
      </c>
      <c r="J24" s="80">
        <f t="shared" si="2"/>
        <v>44249</v>
      </c>
      <c r="K24" s="81">
        <f t="shared" si="3"/>
        <v>8</v>
      </c>
      <c r="L24" s="82">
        <f>'KW 8'!$D$33</f>
        <v>0</v>
      </c>
      <c r="Q24" s="79">
        <f t="shared" si="8"/>
        <v>44277</v>
      </c>
      <c r="R24" s="80">
        <f t="shared" si="4"/>
        <v>44277</v>
      </c>
      <c r="S24" s="81">
        <f t="shared" si="5"/>
        <v>12</v>
      </c>
      <c r="T24" s="82">
        <f>'KW 12'!$D$33</f>
        <v>0</v>
      </c>
    </row>
    <row r="25" spans="1:20" x14ac:dyDescent="0.25">
      <c r="A25" s="79">
        <f t="shared" si="6"/>
        <v>44219</v>
      </c>
      <c r="B25" s="80">
        <f t="shared" si="0"/>
        <v>44219</v>
      </c>
      <c r="C25" s="81">
        <f t="shared" si="1"/>
        <v>3</v>
      </c>
      <c r="D25" s="82">
        <f>'KW 3'!$N$33</f>
        <v>0</v>
      </c>
      <c r="I25" s="79">
        <f t="shared" si="7"/>
        <v>44250</v>
      </c>
      <c r="J25" s="80">
        <f t="shared" si="2"/>
        <v>44250</v>
      </c>
      <c r="K25" s="81">
        <f t="shared" si="3"/>
        <v>8</v>
      </c>
      <c r="L25" s="82">
        <f>'KW 8'!$F$33</f>
        <v>0</v>
      </c>
      <c r="Q25" s="79">
        <f t="shared" si="8"/>
        <v>44278</v>
      </c>
      <c r="R25" s="80">
        <f t="shared" si="4"/>
        <v>44278</v>
      </c>
      <c r="S25" s="81">
        <f t="shared" si="5"/>
        <v>12</v>
      </c>
      <c r="T25" s="82">
        <f>'KW 12'!$F$33</f>
        <v>0</v>
      </c>
    </row>
    <row r="26" spans="1:20" x14ac:dyDescent="0.25">
      <c r="A26" s="79">
        <f t="shared" si="6"/>
        <v>44220</v>
      </c>
      <c r="B26" s="80">
        <f t="shared" si="0"/>
        <v>44220</v>
      </c>
      <c r="C26" s="81">
        <f t="shared" si="1"/>
        <v>3</v>
      </c>
      <c r="D26" s="82">
        <f>'KW 3'!$P$33</f>
        <v>0</v>
      </c>
      <c r="I26" s="79">
        <f t="shared" si="7"/>
        <v>44251</v>
      </c>
      <c r="J26" s="80">
        <f t="shared" si="2"/>
        <v>44251</v>
      </c>
      <c r="K26" s="81">
        <f t="shared" si="3"/>
        <v>8</v>
      </c>
      <c r="L26" s="82">
        <f>'KW 8'!$H$33</f>
        <v>0</v>
      </c>
      <c r="Q26" s="79">
        <f t="shared" si="8"/>
        <v>44279</v>
      </c>
      <c r="R26" s="80">
        <f t="shared" si="4"/>
        <v>44279</v>
      </c>
      <c r="S26" s="81">
        <f t="shared" si="5"/>
        <v>12</v>
      </c>
      <c r="T26" s="82">
        <f>'KW 12'!$H$33</f>
        <v>0</v>
      </c>
    </row>
    <row r="27" spans="1:20" x14ac:dyDescent="0.25">
      <c r="A27" s="79">
        <f t="shared" si="6"/>
        <v>44221</v>
      </c>
      <c r="B27" s="80">
        <f t="shared" si="0"/>
        <v>44221</v>
      </c>
      <c r="C27" s="81">
        <f t="shared" si="1"/>
        <v>4</v>
      </c>
      <c r="D27" s="82">
        <f>'KW 4'!$D$33</f>
        <v>0</v>
      </c>
      <c r="I27" s="79">
        <f t="shared" si="7"/>
        <v>44252</v>
      </c>
      <c r="J27" s="80">
        <f t="shared" si="2"/>
        <v>44252</v>
      </c>
      <c r="K27" s="81">
        <f t="shared" si="3"/>
        <v>8</v>
      </c>
      <c r="L27" s="82">
        <f>'KW 8'!$J$33</f>
        <v>0</v>
      </c>
      <c r="Q27" s="79">
        <f t="shared" si="8"/>
        <v>44280</v>
      </c>
      <c r="R27" s="80">
        <f t="shared" si="4"/>
        <v>44280</v>
      </c>
      <c r="S27" s="81">
        <f t="shared" si="5"/>
        <v>12</v>
      </c>
      <c r="T27" s="82">
        <f>'KW 12'!$J$33</f>
        <v>0</v>
      </c>
    </row>
    <row r="28" spans="1:20" x14ac:dyDescent="0.25">
      <c r="A28" s="79">
        <f t="shared" si="6"/>
        <v>44222</v>
      </c>
      <c r="B28" s="80">
        <f t="shared" si="0"/>
        <v>44222</v>
      </c>
      <c r="C28" s="81">
        <f t="shared" si="1"/>
        <v>4</v>
      </c>
      <c r="D28" s="82">
        <f>'KW 4'!$F$33</f>
        <v>0</v>
      </c>
      <c r="I28" s="79">
        <f t="shared" si="7"/>
        <v>44253</v>
      </c>
      <c r="J28" s="80">
        <f t="shared" si="2"/>
        <v>44253</v>
      </c>
      <c r="K28" s="81">
        <f t="shared" si="3"/>
        <v>8</v>
      </c>
      <c r="L28" s="82">
        <f>'KW 8'!$L$33</f>
        <v>0</v>
      </c>
      <c r="Q28" s="79">
        <f t="shared" si="8"/>
        <v>44281</v>
      </c>
      <c r="R28" s="80">
        <f t="shared" si="4"/>
        <v>44281</v>
      </c>
      <c r="S28" s="81">
        <f t="shared" si="5"/>
        <v>12</v>
      </c>
      <c r="T28" s="82">
        <f>'KW 12'!$L$33</f>
        <v>0</v>
      </c>
    </row>
    <row r="29" spans="1:20" x14ac:dyDescent="0.25">
      <c r="A29" s="79">
        <f t="shared" si="6"/>
        <v>44223</v>
      </c>
      <c r="B29" s="80">
        <f t="shared" si="0"/>
        <v>44223</v>
      </c>
      <c r="C29" s="81">
        <f t="shared" si="1"/>
        <v>4</v>
      </c>
      <c r="D29" s="82">
        <f>'KW 4'!$H$33</f>
        <v>0</v>
      </c>
      <c r="I29" s="79">
        <f t="shared" si="7"/>
        <v>44254</v>
      </c>
      <c r="J29" s="80">
        <f t="shared" si="2"/>
        <v>44254</v>
      </c>
      <c r="K29" s="81">
        <f t="shared" si="3"/>
        <v>8</v>
      </c>
      <c r="L29" s="82">
        <f>'KW 8'!$N$33</f>
        <v>0</v>
      </c>
      <c r="Q29" s="79">
        <f t="shared" si="8"/>
        <v>44282</v>
      </c>
      <c r="R29" s="80">
        <f t="shared" si="4"/>
        <v>44282</v>
      </c>
      <c r="S29" s="81">
        <f t="shared" si="5"/>
        <v>12</v>
      </c>
      <c r="T29" s="82">
        <f>'KW 12'!$N$33</f>
        <v>0</v>
      </c>
    </row>
    <row r="30" spans="1:20" x14ac:dyDescent="0.25">
      <c r="A30" s="79">
        <f t="shared" si="6"/>
        <v>44224</v>
      </c>
      <c r="B30" s="80">
        <f t="shared" si="0"/>
        <v>44224</v>
      </c>
      <c r="C30" s="81">
        <f t="shared" si="1"/>
        <v>4</v>
      </c>
      <c r="D30" s="82">
        <f>'KW 4'!$J$33</f>
        <v>0</v>
      </c>
      <c r="I30" s="79">
        <f t="shared" si="7"/>
        <v>44255</v>
      </c>
      <c r="J30" s="80">
        <f t="shared" si="2"/>
        <v>44255</v>
      </c>
      <c r="K30" s="81">
        <f t="shared" si="3"/>
        <v>8</v>
      </c>
      <c r="L30" s="82">
        <f>'KW 8'!$P$33</f>
        <v>0</v>
      </c>
      <c r="Q30" s="79">
        <f t="shared" si="8"/>
        <v>44283</v>
      </c>
      <c r="R30" s="80">
        <f t="shared" si="4"/>
        <v>44283</v>
      </c>
      <c r="S30" s="81">
        <f t="shared" si="5"/>
        <v>12</v>
      </c>
      <c r="T30" s="82">
        <f>'KW 12'!$P$33</f>
        <v>0</v>
      </c>
    </row>
    <row r="31" spans="1:20" x14ac:dyDescent="0.25">
      <c r="A31" s="79">
        <f t="shared" si="6"/>
        <v>44225</v>
      </c>
      <c r="B31" s="80">
        <f t="shared" si="0"/>
        <v>44225</v>
      </c>
      <c r="C31" s="81">
        <f t="shared" si="1"/>
        <v>4</v>
      </c>
      <c r="D31" s="82">
        <f>'KW 4'!$L$33</f>
        <v>0</v>
      </c>
      <c r="I31" s="79" t="str">
        <f t="shared" si="7"/>
        <v/>
      </c>
      <c r="J31" s="80" t="str">
        <f t="shared" si="2"/>
        <v/>
      </c>
      <c r="K31" s="81" t="str">
        <f t="shared" si="3"/>
        <v/>
      </c>
      <c r="L31" s="82" t="str">
        <f>IF(I31="","",'KW 9'!$D$33)</f>
        <v/>
      </c>
      <c r="Q31" s="79">
        <f t="shared" si="8"/>
        <v>44284</v>
      </c>
      <c r="R31" s="80">
        <f t="shared" si="4"/>
        <v>44284</v>
      </c>
      <c r="S31" s="81">
        <f t="shared" si="5"/>
        <v>13</v>
      </c>
      <c r="T31" s="82">
        <f>IF(Q31="","",'KW 13'!$D$33)</f>
        <v>0</v>
      </c>
    </row>
    <row r="32" spans="1:20" x14ac:dyDescent="0.25">
      <c r="A32" s="79">
        <f t="shared" si="6"/>
        <v>44226</v>
      </c>
      <c r="B32" s="80">
        <f t="shared" si="0"/>
        <v>44226</v>
      </c>
      <c r="C32" s="81">
        <f t="shared" si="1"/>
        <v>4</v>
      </c>
      <c r="D32" s="82">
        <f>'KW 4'!$N$33</f>
        <v>0</v>
      </c>
      <c r="I32" s="79" t="str">
        <f t="shared" si="7"/>
        <v/>
      </c>
      <c r="J32" s="80" t="str">
        <f t="shared" si="2"/>
        <v/>
      </c>
      <c r="K32" s="81" t="str">
        <f t="shared" si="3"/>
        <v/>
      </c>
      <c r="L32" s="82" t="str">
        <f>IF(I32="","",'KW 9'!$F$33)</f>
        <v/>
      </c>
      <c r="Q32" s="79">
        <f t="shared" si="8"/>
        <v>44285</v>
      </c>
      <c r="R32" s="80">
        <f t="shared" si="4"/>
        <v>44285</v>
      </c>
      <c r="S32" s="81">
        <f t="shared" si="5"/>
        <v>13</v>
      </c>
      <c r="T32" s="82">
        <f>IF(Q32="","",'KW 13'!$F$33)</f>
        <v>0</v>
      </c>
    </row>
    <row r="33" spans="1:23" ht="15.75" thickBot="1" x14ac:dyDescent="0.3">
      <c r="A33" s="84">
        <f t="shared" si="6"/>
        <v>44227</v>
      </c>
      <c r="B33" s="85">
        <f t="shared" si="0"/>
        <v>44227</v>
      </c>
      <c r="C33" s="86">
        <f t="shared" si="1"/>
        <v>4</v>
      </c>
      <c r="D33" s="87">
        <f>'KW 4'!$P$33</f>
        <v>0</v>
      </c>
      <c r="I33" s="84" t="str">
        <f t="shared" si="7"/>
        <v/>
      </c>
      <c r="J33" s="85" t="str">
        <f t="shared" si="2"/>
        <v/>
      </c>
      <c r="K33" s="86" t="str">
        <f t="shared" si="3"/>
        <v/>
      </c>
      <c r="L33" s="87" t="str">
        <f>IF(I33="","",'KW 9'!$H$33)</f>
        <v/>
      </c>
      <c r="Q33" s="84">
        <f t="shared" si="8"/>
        <v>44286</v>
      </c>
      <c r="R33" s="85">
        <f t="shared" si="4"/>
        <v>44286</v>
      </c>
      <c r="S33" s="86">
        <f t="shared" si="5"/>
        <v>13</v>
      </c>
      <c r="T33" s="87">
        <f>IF(Q33="","",'KW 13'!$H$33)</f>
        <v>0</v>
      </c>
    </row>
    <row r="34" spans="1:23" ht="15.75" thickTop="1" x14ac:dyDescent="0.25">
      <c r="C34" s="1" t="s">
        <v>51</v>
      </c>
      <c r="D34" s="59">
        <f>SUM(D3:D33)</f>
        <v>0</v>
      </c>
      <c r="K34" s="1" t="s">
        <v>54</v>
      </c>
      <c r="L34" s="59">
        <f>SUM(L3:L33)</f>
        <v>0</v>
      </c>
      <c r="S34" s="1" t="s">
        <v>61</v>
      </c>
      <c r="T34" s="59">
        <f>SUM(T3:T33)</f>
        <v>0</v>
      </c>
    </row>
    <row r="36" spans="1:23" ht="15.75" thickBot="1" x14ac:dyDescent="0.3">
      <c r="A36" s="75" t="s">
        <v>62</v>
      </c>
      <c r="B36" s="75">
        <f>Start!$B$1</f>
        <v>2021</v>
      </c>
      <c r="C36" s="7"/>
      <c r="D36" s="75"/>
      <c r="I36" s="75" t="s">
        <v>63</v>
      </c>
      <c r="J36" s="75">
        <f>Start!$B$1</f>
        <v>2021</v>
      </c>
      <c r="K36" s="7"/>
      <c r="L36" s="75"/>
      <c r="Q36" s="75" t="s">
        <v>64</v>
      </c>
      <c r="R36" s="75">
        <f>Start!$B$1</f>
        <v>2021</v>
      </c>
      <c r="S36" s="7"/>
      <c r="T36" s="75"/>
    </row>
    <row r="37" spans="1:23" ht="15.75" thickBot="1" x14ac:dyDescent="0.3">
      <c r="A37" s="76" t="s">
        <v>40</v>
      </c>
      <c r="B37" s="77" t="s">
        <v>48</v>
      </c>
      <c r="C37" s="77" t="s">
        <v>49</v>
      </c>
      <c r="D37" s="78" t="s">
        <v>50</v>
      </c>
      <c r="F37" s="76" t="s">
        <v>59</v>
      </c>
      <c r="G37" s="88">
        <f>SUMIF($C$38:$C$68,"13",$D$38:$D$68)</f>
        <v>0</v>
      </c>
      <c r="I37" s="76" t="s">
        <v>40</v>
      </c>
      <c r="J37" s="77" t="s">
        <v>48</v>
      </c>
      <c r="K37" s="77" t="s">
        <v>49</v>
      </c>
      <c r="L37" s="78" t="s">
        <v>50</v>
      </c>
      <c r="N37" s="76" t="s">
        <v>83</v>
      </c>
      <c r="O37" s="88">
        <f>SUMIF($K$38:$K$68,"17",$L$38:$L$68)</f>
        <v>0</v>
      </c>
      <c r="Q37" s="96" t="s">
        <v>40</v>
      </c>
      <c r="R37" s="97" t="s">
        <v>48</v>
      </c>
      <c r="S37" s="97" t="s">
        <v>49</v>
      </c>
      <c r="T37" s="98" t="s">
        <v>50</v>
      </c>
      <c r="V37" s="76" t="s">
        <v>88</v>
      </c>
      <c r="W37" s="88">
        <f>SUMIF($S$38:$S$68,"22",$T$38:$T$68)</f>
        <v>0</v>
      </c>
    </row>
    <row r="38" spans="1:23" x14ac:dyDescent="0.25">
      <c r="A38" s="79">
        <f>DATE(B36,4,1)</f>
        <v>44287</v>
      </c>
      <c r="B38" s="80">
        <f>A38</f>
        <v>44287</v>
      </c>
      <c r="C38" s="81">
        <f>IF(A38="","",WEEKNUM(A38,21))</f>
        <v>13</v>
      </c>
      <c r="D38" s="82">
        <f>'KW 13'!$J$33</f>
        <v>0</v>
      </c>
      <c r="F38" s="89" t="s">
        <v>80</v>
      </c>
      <c r="G38" s="82">
        <f>SUMIF($C$38:$C$68,"14",$D$38:$D$68)</f>
        <v>0</v>
      </c>
      <c r="I38" s="79">
        <f>DATE(J36,5,1)</f>
        <v>44317</v>
      </c>
      <c r="J38" s="80">
        <f>I38</f>
        <v>44317</v>
      </c>
      <c r="K38" s="81">
        <f>IF(I38="","",WEEKNUM(I38,21))</f>
        <v>17</v>
      </c>
      <c r="L38" s="82">
        <f>'KW 17'!$D$33</f>
        <v>0</v>
      </c>
      <c r="N38" s="89" t="s">
        <v>84</v>
      </c>
      <c r="O38" s="82">
        <f>SUMIF($K$38:$K$68,"18",$L$38:$L$68)</f>
        <v>0</v>
      </c>
      <c r="Q38" s="99">
        <f>DATE(R36,6,1)</f>
        <v>44348</v>
      </c>
      <c r="R38" s="100">
        <f>Q38</f>
        <v>44348</v>
      </c>
      <c r="S38" s="101">
        <f>IF(Q38="","",WEEKNUM(Q38,21))</f>
        <v>22</v>
      </c>
      <c r="T38" s="88">
        <f>'KW 22'!$F$33</f>
        <v>0</v>
      </c>
      <c r="V38" s="89" t="s">
        <v>98</v>
      </c>
      <c r="W38" s="82">
        <f>SUMIF($S$38:$S$68,"23",$T$38:$T$68)</f>
        <v>0</v>
      </c>
    </row>
    <row r="39" spans="1:23" x14ac:dyDescent="0.25">
      <c r="A39" s="153">
        <f>IFERROR(IF(MONTH(A38+1)=MONTH(A$38),A38+1,""),"")</f>
        <v>44288</v>
      </c>
      <c r="B39" s="154">
        <f t="shared" ref="B39:B68" si="9">A39</f>
        <v>44288</v>
      </c>
      <c r="C39" s="155">
        <f t="shared" ref="C39:C68" si="10">IF(A39="","",WEEKNUM(A39,21))</f>
        <v>13</v>
      </c>
      <c r="D39" s="156">
        <f>'KW 13'!$L$33</f>
        <v>0</v>
      </c>
      <c r="F39" s="89" t="s">
        <v>81</v>
      </c>
      <c r="G39" s="82">
        <f>SUMIF($C$38:$C$68,"15",$D$38:$D$68)</f>
        <v>0</v>
      </c>
      <c r="I39" s="79">
        <f>IFERROR(IF(MONTH(I38+1)=MONTH(I$38),I38+1,""),"")</f>
        <v>44318</v>
      </c>
      <c r="J39" s="80">
        <f t="shared" ref="J39:J68" si="11">I39</f>
        <v>44318</v>
      </c>
      <c r="K39" s="81">
        <f t="shared" ref="K39:K68" si="12">IF(I39="","",WEEKNUM(I39,21))</f>
        <v>17</v>
      </c>
      <c r="L39" s="82">
        <f>'KW 17'!$F$33</f>
        <v>0</v>
      </c>
      <c r="N39" s="89" t="s">
        <v>85</v>
      </c>
      <c r="O39" s="82">
        <f>SUMIF($K$38:$K$68,"19",$L$38:$L$68)</f>
        <v>0</v>
      </c>
      <c r="Q39" s="79">
        <f>IFERROR(IF(MONTH(Q38+1)=MONTH(Q$38),Q38+1,""),"")</f>
        <v>44349</v>
      </c>
      <c r="R39" s="80">
        <f t="shared" ref="R39:R68" si="13">Q39</f>
        <v>44349</v>
      </c>
      <c r="S39" s="81">
        <f t="shared" ref="S39:S68" si="14">IF(Q39="","",WEEKNUM(Q39,21))</f>
        <v>22</v>
      </c>
      <c r="T39" s="82">
        <f>'KW 22'!$H$33</f>
        <v>0</v>
      </c>
      <c r="V39" s="89" t="s">
        <v>99</v>
      </c>
      <c r="W39" s="82">
        <f>SUMIF($S$38:$S$68,"24",$T$38:$T$68)</f>
        <v>0</v>
      </c>
    </row>
    <row r="40" spans="1:23" x14ac:dyDescent="0.25">
      <c r="A40" s="79">
        <f t="shared" ref="A40:A68" si="15">IFERROR(IF(MONTH(A39+1)=MONTH(A$38),A39+1,""),"")</f>
        <v>44289</v>
      </c>
      <c r="B40" s="80">
        <f t="shared" si="9"/>
        <v>44289</v>
      </c>
      <c r="C40" s="81">
        <f t="shared" si="10"/>
        <v>13</v>
      </c>
      <c r="D40" s="82">
        <f>'KW 13'!$N$33</f>
        <v>0</v>
      </c>
      <c r="F40" s="89" t="s">
        <v>82</v>
      </c>
      <c r="G40" s="82">
        <f>SUMIF($C$38:$C$68,"16",$D$38:$D$68)</f>
        <v>0</v>
      </c>
      <c r="I40" s="79">
        <f t="shared" ref="I40:I68" si="16">IFERROR(IF(MONTH(I39+1)=MONTH(I$38),I39+1,""),"")</f>
        <v>44319</v>
      </c>
      <c r="J40" s="80">
        <f t="shared" si="11"/>
        <v>44319</v>
      </c>
      <c r="K40" s="81">
        <f t="shared" si="12"/>
        <v>18</v>
      </c>
      <c r="L40" s="94">
        <f>'KW 18'!$D$33</f>
        <v>0</v>
      </c>
      <c r="N40" s="89" t="s">
        <v>86</v>
      </c>
      <c r="O40" s="82">
        <f>SUMIF($K$38:$K$68,"20",$L$38:$L$68)</f>
        <v>0</v>
      </c>
      <c r="Q40" s="153">
        <f t="shared" ref="Q40:Q68" si="17">IFERROR(IF(MONTH(Q39+1)=MONTH(Q$38),Q39+1,""),"")</f>
        <v>44350</v>
      </c>
      <c r="R40" s="154">
        <f t="shared" si="13"/>
        <v>44350</v>
      </c>
      <c r="S40" s="155">
        <f t="shared" si="14"/>
        <v>22</v>
      </c>
      <c r="T40" s="156">
        <f>'KW 22'!$J$33</f>
        <v>0</v>
      </c>
      <c r="V40" s="89" t="s">
        <v>100</v>
      </c>
      <c r="W40" s="82">
        <f>SUMIF($S$38:$S$68,"25",$T$38:$T$68)</f>
        <v>0</v>
      </c>
    </row>
    <row r="41" spans="1:23" x14ac:dyDescent="0.25">
      <c r="A41" s="79">
        <f t="shared" si="15"/>
        <v>44290</v>
      </c>
      <c r="B41" s="80">
        <f t="shared" si="9"/>
        <v>44290</v>
      </c>
      <c r="C41" s="81">
        <f t="shared" si="10"/>
        <v>13</v>
      </c>
      <c r="D41" s="82">
        <f>'KW 13'!$P$33</f>
        <v>0</v>
      </c>
      <c r="F41" s="89" t="s">
        <v>83</v>
      </c>
      <c r="G41" s="82">
        <f>SUMIF($C$38:$C$68,"17",$D$38:$D$68)</f>
        <v>0</v>
      </c>
      <c r="I41" s="79">
        <f t="shared" si="16"/>
        <v>44320</v>
      </c>
      <c r="J41" s="80">
        <f t="shared" si="11"/>
        <v>44320</v>
      </c>
      <c r="K41" s="81">
        <f t="shared" si="12"/>
        <v>18</v>
      </c>
      <c r="L41" s="82">
        <f>'KW 18'!$F$33</f>
        <v>0</v>
      </c>
      <c r="N41" s="89" t="s">
        <v>87</v>
      </c>
      <c r="O41" s="82">
        <f>SUMIF($K$38:$K$68,"21",$L$38:$L$68)</f>
        <v>0</v>
      </c>
      <c r="Q41" s="79">
        <f t="shared" si="17"/>
        <v>44351</v>
      </c>
      <c r="R41" s="80">
        <f t="shared" si="13"/>
        <v>44351</v>
      </c>
      <c r="S41" s="81">
        <f t="shared" si="14"/>
        <v>22</v>
      </c>
      <c r="T41" s="82">
        <f>'KW 22'!$L$33</f>
        <v>0</v>
      </c>
      <c r="V41" s="89" t="s">
        <v>101</v>
      </c>
      <c r="W41" s="82">
        <f>SUMIF($S$38:$S$68,"26",$T$38:$T$68)</f>
        <v>0</v>
      </c>
    </row>
    <row r="42" spans="1:23" ht="15.75" thickBot="1" x14ac:dyDescent="0.3">
      <c r="A42" s="150">
        <f t="shared" si="15"/>
        <v>44291</v>
      </c>
      <c r="B42" s="151">
        <f t="shared" si="9"/>
        <v>44291</v>
      </c>
      <c r="C42" s="152">
        <f t="shared" si="10"/>
        <v>14</v>
      </c>
      <c r="D42" s="157">
        <f>'KW 14'!$D$33</f>
        <v>0</v>
      </c>
      <c r="F42" s="90" t="s">
        <v>84</v>
      </c>
      <c r="G42" s="82">
        <f>SUMIF($C$38:$C$68,"18",$D$38:$D$68)</f>
        <v>0</v>
      </c>
      <c r="I42" s="79">
        <f t="shared" si="16"/>
        <v>44321</v>
      </c>
      <c r="J42" s="80">
        <f t="shared" si="11"/>
        <v>44321</v>
      </c>
      <c r="K42" s="81">
        <f t="shared" si="12"/>
        <v>18</v>
      </c>
      <c r="L42" s="82">
        <f>'KW 18'!$H$33</f>
        <v>0</v>
      </c>
      <c r="N42" s="90" t="s">
        <v>88</v>
      </c>
      <c r="O42" s="82">
        <f>SUMIF($K$38:$K$68,"22",$L$38:$L$68)</f>
        <v>0</v>
      </c>
      <c r="Q42" s="79">
        <f t="shared" si="17"/>
        <v>44352</v>
      </c>
      <c r="R42" s="80">
        <f t="shared" si="13"/>
        <v>44352</v>
      </c>
      <c r="S42" s="81">
        <f t="shared" si="14"/>
        <v>22</v>
      </c>
      <c r="T42" s="82">
        <f>'KW 22'!$N$33</f>
        <v>0</v>
      </c>
      <c r="V42" s="90" t="s">
        <v>102</v>
      </c>
      <c r="W42" s="82">
        <f>SUMIF($S$38:$S$68,"27",$T$38:$T$68)</f>
        <v>0</v>
      </c>
    </row>
    <row r="43" spans="1:23" x14ac:dyDescent="0.25">
      <c r="A43" s="79">
        <f t="shared" si="15"/>
        <v>44292</v>
      </c>
      <c r="B43" s="80">
        <f t="shared" si="9"/>
        <v>44292</v>
      </c>
      <c r="C43" s="81">
        <f t="shared" si="10"/>
        <v>14</v>
      </c>
      <c r="D43" s="82">
        <f>'KW 14'!$F$33</f>
        <v>0</v>
      </c>
      <c r="I43" s="79">
        <f t="shared" si="16"/>
        <v>44322</v>
      </c>
      <c r="J43" s="80">
        <f t="shared" si="11"/>
        <v>44322</v>
      </c>
      <c r="K43" s="81">
        <f t="shared" si="12"/>
        <v>18</v>
      </c>
      <c r="L43" s="82">
        <f>'KW 18'!$J$33</f>
        <v>0</v>
      </c>
      <c r="Q43" s="79">
        <f t="shared" si="17"/>
        <v>44353</v>
      </c>
      <c r="R43" s="80">
        <f t="shared" si="13"/>
        <v>44353</v>
      </c>
      <c r="S43" s="81">
        <f t="shared" si="14"/>
        <v>22</v>
      </c>
      <c r="T43" s="82">
        <f>'KW 22'!$P$33</f>
        <v>0</v>
      </c>
    </row>
    <row r="44" spans="1:23" x14ac:dyDescent="0.25">
      <c r="A44" s="79">
        <f t="shared" si="15"/>
        <v>44293</v>
      </c>
      <c r="B44" s="80">
        <f t="shared" si="9"/>
        <v>44293</v>
      </c>
      <c r="C44" s="81">
        <f t="shared" si="10"/>
        <v>14</v>
      </c>
      <c r="D44" s="82">
        <f>'KW 14'!$H$33</f>
        <v>0</v>
      </c>
      <c r="F44" s="7" t="s">
        <v>0</v>
      </c>
      <c r="G44" s="93">
        <f>SUM(G37:G42)</f>
        <v>0</v>
      </c>
      <c r="I44" s="79">
        <f t="shared" si="16"/>
        <v>44323</v>
      </c>
      <c r="J44" s="80">
        <f t="shared" si="11"/>
        <v>44323</v>
      </c>
      <c r="K44" s="81">
        <f t="shared" si="12"/>
        <v>18</v>
      </c>
      <c r="L44" s="82">
        <f>'KW 18'!$L$33</f>
        <v>0</v>
      </c>
      <c r="N44" s="7" t="s">
        <v>0</v>
      </c>
      <c r="O44" s="93">
        <f>SUM(O37:O42)</f>
        <v>0</v>
      </c>
      <c r="Q44" s="79">
        <f t="shared" si="17"/>
        <v>44354</v>
      </c>
      <c r="R44" s="80">
        <f t="shared" si="13"/>
        <v>44354</v>
      </c>
      <c r="S44" s="81">
        <f t="shared" si="14"/>
        <v>23</v>
      </c>
      <c r="T44" s="94">
        <f>'KW 23'!$D$33</f>
        <v>0</v>
      </c>
      <c r="V44" s="7" t="s">
        <v>0</v>
      </c>
      <c r="W44" s="93">
        <f>SUM(W37:W42)</f>
        <v>0</v>
      </c>
    </row>
    <row r="45" spans="1:23" x14ac:dyDescent="0.25">
      <c r="A45" s="79">
        <f t="shared" si="15"/>
        <v>44294</v>
      </c>
      <c r="B45" s="80">
        <f t="shared" si="9"/>
        <v>44294</v>
      </c>
      <c r="C45" s="81">
        <f t="shared" si="10"/>
        <v>14</v>
      </c>
      <c r="D45" s="82">
        <f>'KW 14'!$J$33</f>
        <v>0</v>
      </c>
      <c r="I45" s="79">
        <f t="shared" si="16"/>
        <v>44324</v>
      </c>
      <c r="J45" s="80">
        <f t="shared" si="11"/>
        <v>44324</v>
      </c>
      <c r="K45" s="81">
        <f t="shared" si="12"/>
        <v>18</v>
      </c>
      <c r="L45" s="82">
        <f>'KW 18'!$N$33</f>
        <v>0</v>
      </c>
      <c r="Q45" s="79">
        <f t="shared" si="17"/>
        <v>44355</v>
      </c>
      <c r="R45" s="80">
        <f t="shared" si="13"/>
        <v>44355</v>
      </c>
      <c r="S45" s="81">
        <f t="shared" si="14"/>
        <v>23</v>
      </c>
      <c r="T45" s="82">
        <f>'KW 23'!$F$33</f>
        <v>0</v>
      </c>
    </row>
    <row r="46" spans="1:23" x14ac:dyDescent="0.25">
      <c r="A46" s="79">
        <f t="shared" si="15"/>
        <v>44295</v>
      </c>
      <c r="B46" s="80">
        <f t="shared" si="9"/>
        <v>44295</v>
      </c>
      <c r="C46" s="81">
        <f t="shared" si="10"/>
        <v>14</v>
      </c>
      <c r="D46" s="82">
        <f>'KW 14'!$L$33</f>
        <v>0</v>
      </c>
      <c r="I46" s="79">
        <f t="shared" si="16"/>
        <v>44325</v>
      </c>
      <c r="J46" s="80">
        <f t="shared" si="11"/>
        <v>44325</v>
      </c>
      <c r="K46" s="81">
        <f t="shared" si="12"/>
        <v>18</v>
      </c>
      <c r="L46" s="82">
        <f>'KW 18'!$P$33</f>
        <v>0</v>
      </c>
      <c r="Q46" s="79">
        <f t="shared" si="17"/>
        <v>44356</v>
      </c>
      <c r="R46" s="80">
        <f t="shared" si="13"/>
        <v>44356</v>
      </c>
      <c r="S46" s="81">
        <f t="shared" si="14"/>
        <v>23</v>
      </c>
      <c r="T46" s="82">
        <f>'KW 23'!$H$33</f>
        <v>0</v>
      </c>
    </row>
    <row r="47" spans="1:23" x14ac:dyDescent="0.25">
      <c r="A47" s="79">
        <f t="shared" si="15"/>
        <v>44296</v>
      </c>
      <c r="B47" s="80">
        <f t="shared" si="9"/>
        <v>44296</v>
      </c>
      <c r="C47" s="81">
        <f t="shared" si="10"/>
        <v>14</v>
      </c>
      <c r="D47" s="82">
        <f>'KW 14'!$N$33</f>
        <v>0</v>
      </c>
      <c r="I47" s="79">
        <f t="shared" si="16"/>
        <v>44326</v>
      </c>
      <c r="J47" s="80">
        <f t="shared" si="11"/>
        <v>44326</v>
      </c>
      <c r="K47" s="81">
        <f t="shared" si="12"/>
        <v>19</v>
      </c>
      <c r="L47" s="94">
        <f>'KW 19'!$D$33</f>
        <v>0</v>
      </c>
      <c r="Q47" s="79">
        <f t="shared" si="17"/>
        <v>44357</v>
      </c>
      <c r="R47" s="80">
        <f t="shared" si="13"/>
        <v>44357</v>
      </c>
      <c r="S47" s="81">
        <f t="shared" si="14"/>
        <v>23</v>
      </c>
      <c r="T47" s="82">
        <f>'KW 23'!$J$33</f>
        <v>0</v>
      </c>
    </row>
    <row r="48" spans="1:23" ht="15.75" thickBot="1" x14ac:dyDescent="0.3">
      <c r="A48" s="79">
        <f t="shared" si="15"/>
        <v>44297</v>
      </c>
      <c r="B48" s="80">
        <f t="shared" si="9"/>
        <v>44297</v>
      </c>
      <c r="C48" s="81">
        <f t="shared" si="10"/>
        <v>14</v>
      </c>
      <c r="D48" s="87">
        <f>'KW 14'!$P$33</f>
        <v>0</v>
      </c>
      <c r="I48" s="79">
        <f t="shared" si="16"/>
        <v>44327</v>
      </c>
      <c r="J48" s="80">
        <f t="shared" si="11"/>
        <v>44327</v>
      </c>
      <c r="K48" s="81">
        <f t="shared" si="12"/>
        <v>19</v>
      </c>
      <c r="L48" s="82">
        <f>'KW 19'!$F$33</f>
        <v>0</v>
      </c>
      <c r="Q48" s="79">
        <f t="shared" si="17"/>
        <v>44358</v>
      </c>
      <c r="R48" s="80">
        <f t="shared" si="13"/>
        <v>44358</v>
      </c>
      <c r="S48" s="81">
        <f t="shared" si="14"/>
        <v>23</v>
      </c>
      <c r="T48" s="82">
        <f>'KW 23'!$L$33</f>
        <v>0</v>
      </c>
    </row>
    <row r="49" spans="1:20" ht="15.75" thickTop="1" x14ac:dyDescent="0.25">
      <c r="A49" s="79">
        <f t="shared" si="15"/>
        <v>44298</v>
      </c>
      <c r="B49" s="80">
        <f t="shared" si="9"/>
        <v>44298</v>
      </c>
      <c r="C49" s="81">
        <f t="shared" si="10"/>
        <v>15</v>
      </c>
      <c r="D49" s="82">
        <f>'KW 15'!$D$33</f>
        <v>0</v>
      </c>
      <c r="I49" s="79">
        <f t="shared" si="16"/>
        <v>44328</v>
      </c>
      <c r="J49" s="80">
        <f t="shared" si="11"/>
        <v>44328</v>
      </c>
      <c r="K49" s="81">
        <f t="shared" si="12"/>
        <v>19</v>
      </c>
      <c r="L49" s="82">
        <f>'KW 19'!$H$33</f>
        <v>0</v>
      </c>
      <c r="Q49" s="79">
        <f t="shared" si="17"/>
        <v>44359</v>
      </c>
      <c r="R49" s="80">
        <f t="shared" si="13"/>
        <v>44359</v>
      </c>
      <c r="S49" s="81">
        <f t="shared" si="14"/>
        <v>23</v>
      </c>
      <c r="T49" s="82">
        <f>'KW 23'!$N$33</f>
        <v>0</v>
      </c>
    </row>
    <row r="50" spans="1:20" x14ac:dyDescent="0.25">
      <c r="A50" s="79">
        <f t="shared" si="15"/>
        <v>44299</v>
      </c>
      <c r="B50" s="80">
        <f t="shared" si="9"/>
        <v>44299</v>
      </c>
      <c r="C50" s="81">
        <f t="shared" si="10"/>
        <v>15</v>
      </c>
      <c r="D50" s="82">
        <f>'KW 15'!$F$33</f>
        <v>0</v>
      </c>
      <c r="I50" s="150">
        <f t="shared" si="16"/>
        <v>44329</v>
      </c>
      <c r="J50" s="151">
        <f t="shared" si="11"/>
        <v>44329</v>
      </c>
      <c r="K50" s="152">
        <f t="shared" si="12"/>
        <v>19</v>
      </c>
      <c r="L50" s="94">
        <f>'KW 19'!$J$33</f>
        <v>0</v>
      </c>
      <c r="Q50" s="79">
        <f t="shared" si="17"/>
        <v>44360</v>
      </c>
      <c r="R50" s="80">
        <f t="shared" si="13"/>
        <v>44360</v>
      </c>
      <c r="S50" s="81">
        <f t="shared" si="14"/>
        <v>23</v>
      </c>
      <c r="T50" s="82">
        <f>'KW 23'!$P$33</f>
        <v>0</v>
      </c>
    </row>
    <row r="51" spans="1:20" x14ac:dyDescent="0.25">
      <c r="A51" s="79">
        <f t="shared" si="15"/>
        <v>44300</v>
      </c>
      <c r="B51" s="80">
        <f t="shared" si="9"/>
        <v>44300</v>
      </c>
      <c r="C51" s="81">
        <f t="shared" si="10"/>
        <v>15</v>
      </c>
      <c r="D51" s="82">
        <f>'KW 15'!$H$33</f>
        <v>0</v>
      </c>
      <c r="I51" s="79">
        <f t="shared" si="16"/>
        <v>44330</v>
      </c>
      <c r="J51" s="80">
        <f t="shared" si="11"/>
        <v>44330</v>
      </c>
      <c r="K51" s="81">
        <f t="shared" si="12"/>
        <v>19</v>
      </c>
      <c r="L51" s="82">
        <f>'KW 19'!$L$33</f>
        <v>0</v>
      </c>
      <c r="Q51" s="79">
        <f t="shared" si="17"/>
        <v>44361</v>
      </c>
      <c r="R51" s="80">
        <f t="shared" si="13"/>
        <v>44361</v>
      </c>
      <c r="S51" s="81">
        <f t="shared" si="14"/>
        <v>24</v>
      </c>
      <c r="T51" s="94">
        <f>'KW 24'!$D$33</f>
        <v>0</v>
      </c>
    </row>
    <row r="52" spans="1:20" x14ac:dyDescent="0.25">
      <c r="A52" s="79">
        <f t="shared" si="15"/>
        <v>44301</v>
      </c>
      <c r="B52" s="80">
        <f t="shared" si="9"/>
        <v>44301</v>
      </c>
      <c r="C52" s="81">
        <f t="shared" si="10"/>
        <v>15</v>
      </c>
      <c r="D52" s="82">
        <f>'KW 15'!$J$33</f>
        <v>0</v>
      </c>
      <c r="I52" s="79">
        <f t="shared" si="16"/>
        <v>44331</v>
      </c>
      <c r="J52" s="80">
        <f t="shared" si="11"/>
        <v>44331</v>
      </c>
      <c r="K52" s="81">
        <f t="shared" si="12"/>
        <v>19</v>
      </c>
      <c r="L52" s="82">
        <f>'KW 19'!$N$33</f>
        <v>0</v>
      </c>
      <c r="Q52" s="79">
        <f t="shared" si="17"/>
        <v>44362</v>
      </c>
      <c r="R52" s="80">
        <f t="shared" si="13"/>
        <v>44362</v>
      </c>
      <c r="S52" s="81">
        <f t="shared" si="14"/>
        <v>24</v>
      </c>
      <c r="T52" s="82">
        <f>'KW 24'!$F$33</f>
        <v>0</v>
      </c>
    </row>
    <row r="53" spans="1:20" x14ac:dyDescent="0.25">
      <c r="A53" s="79">
        <f t="shared" si="15"/>
        <v>44302</v>
      </c>
      <c r="B53" s="80">
        <f t="shared" si="9"/>
        <v>44302</v>
      </c>
      <c r="C53" s="81">
        <f t="shared" si="10"/>
        <v>15</v>
      </c>
      <c r="D53" s="82">
        <f>'KW 15'!$L$33</f>
        <v>0</v>
      </c>
      <c r="I53" s="79">
        <f t="shared" si="16"/>
        <v>44332</v>
      </c>
      <c r="J53" s="80">
        <f t="shared" si="11"/>
        <v>44332</v>
      </c>
      <c r="K53" s="81">
        <f t="shared" si="12"/>
        <v>19</v>
      </c>
      <c r="L53" s="82">
        <f>'KW 19'!$P$33</f>
        <v>0</v>
      </c>
      <c r="Q53" s="79">
        <f t="shared" si="17"/>
        <v>44363</v>
      </c>
      <c r="R53" s="80">
        <f t="shared" si="13"/>
        <v>44363</v>
      </c>
      <c r="S53" s="81">
        <f t="shared" si="14"/>
        <v>24</v>
      </c>
      <c r="T53" s="82">
        <f>'KW 24'!$H$33</f>
        <v>0</v>
      </c>
    </row>
    <row r="54" spans="1:20" x14ac:dyDescent="0.25">
      <c r="A54" s="79">
        <f t="shared" si="15"/>
        <v>44303</v>
      </c>
      <c r="B54" s="80">
        <f t="shared" si="9"/>
        <v>44303</v>
      </c>
      <c r="C54" s="81">
        <f t="shared" si="10"/>
        <v>15</v>
      </c>
      <c r="D54" s="82">
        <f>'KW 15'!$N$33</f>
        <v>0</v>
      </c>
      <c r="I54" s="79">
        <f t="shared" si="16"/>
        <v>44333</v>
      </c>
      <c r="J54" s="80">
        <f t="shared" si="11"/>
        <v>44333</v>
      </c>
      <c r="K54" s="81">
        <f t="shared" si="12"/>
        <v>20</v>
      </c>
      <c r="L54" s="94">
        <f>'KW 20'!$D$33</f>
        <v>0</v>
      </c>
      <c r="Q54" s="79">
        <f t="shared" si="17"/>
        <v>44364</v>
      </c>
      <c r="R54" s="80">
        <f t="shared" si="13"/>
        <v>44364</v>
      </c>
      <c r="S54" s="81">
        <f t="shared" si="14"/>
        <v>24</v>
      </c>
      <c r="T54" s="82">
        <f>'KW 24'!$J$33</f>
        <v>0</v>
      </c>
    </row>
    <row r="55" spans="1:20" ht="15.75" thickBot="1" x14ac:dyDescent="0.3">
      <c r="A55" s="79">
        <f t="shared" si="15"/>
        <v>44304</v>
      </c>
      <c r="B55" s="80">
        <f t="shared" si="9"/>
        <v>44304</v>
      </c>
      <c r="C55" s="81">
        <f t="shared" si="10"/>
        <v>15</v>
      </c>
      <c r="D55" s="87">
        <f>'KW 15'!$P$33</f>
        <v>0</v>
      </c>
      <c r="I55" s="79">
        <f t="shared" si="16"/>
        <v>44334</v>
      </c>
      <c r="J55" s="80">
        <f t="shared" si="11"/>
        <v>44334</v>
      </c>
      <c r="K55" s="81">
        <f t="shared" si="12"/>
        <v>20</v>
      </c>
      <c r="L55" s="82">
        <f>'KW 20'!$F$33</f>
        <v>0</v>
      </c>
      <c r="Q55" s="79">
        <f t="shared" si="17"/>
        <v>44365</v>
      </c>
      <c r="R55" s="80">
        <f t="shared" si="13"/>
        <v>44365</v>
      </c>
      <c r="S55" s="81">
        <f t="shared" si="14"/>
        <v>24</v>
      </c>
      <c r="T55" s="82">
        <f>'KW 24'!$L$33</f>
        <v>0</v>
      </c>
    </row>
    <row r="56" spans="1:20" ht="15.75" thickTop="1" x14ac:dyDescent="0.25">
      <c r="A56" s="79">
        <f t="shared" si="15"/>
        <v>44305</v>
      </c>
      <c r="B56" s="80">
        <f t="shared" si="9"/>
        <v>44305</v>
      </c>
      <c r="C56" s="81">
        <f t="shared" si="10"/>
        <v>16</v>
      </c>
      <c r="D56" s="82">
        <f>'KW 16'!$D$33</f>
        <v>0</v>
      </c>
      <c r="I56" s="79">
        <f t="shared" si="16"/>
        <v>44335</v>
      </c>
      <c r="J56" s="80">
        <f t="shared" si="11"/>
        <v>44335</v>
      </c>
      <c r="K56" s="81">
        <f t="shared" si="12"/>
        <v>20</v>
      </c>
      <c r="L56" s="82">
        <f>'KW 20'!$H$33</f>
        <v>0</v>
      </c>
      <c r="Q56" s="79">
        <f t="shared" si="17"/>
        <v>44366</v>
      </c>
      <c r="R56" s="80">
        <f t="shared" si="13"/>
        <v>44366</v>
      </c>
      <c r="S56" s="81">
        <f t="shared" si="14"/>
        <v>24</v>
      </c>
      <c r="T56" s="82">
        <f>'KW 24'!$N$33</f>
        <v>0</v>
      </c>
    </row>
    <row r="57" spans="1:20" x14ac:dyDescent="0.25">
      <c r="A57" s="79">
        <f t="shared" si="15"/>
        <v>44306</v>
      </c>
      <c r="B57" s="80">
        <f t="shared" si="9"/>
        <v>44306</v>
      </c>
      <c r="C57" s="81">
        <f t="shared" si="10"/>
        <v>16</v>
      </c>
      <c r="D57" s="82">
        <f>'KW 16'!$F$33</f>
        <v>0</v>
      </c>
      <c r="I57" s="79">
        <f t="shared" si="16"/>
        <v>44336</v>
      </c>
      <c r="J57" s="80">
        <f t="shared" si="11"/>
        <v>44336</v>
      </c>
      <c r="K57" s="81">
        <f t="shared" si="12"/>
        <v>20</v>
      </c>
      <c r="L57" s="82">
        <f>'KW 20'!$J$33</f>
        <v>0</v>
      </c>
      <c r="Q57" s="79">
        <f t="shared" si="17"/>
        <v>44367</v>
      </c>
      <c r="R57" s="80">
        <f t="shared" si="13"/>
        <v>44367</v>
      </c>
      <c r="S57" s="81">
        <f t="shared" si="14"/>
        <v>24</v>
      </c>
      <c r="T57" s="82">
        <f>'KW 24'!$P$33</f>
        <v>0</v>
      </c>
    </row>
    <row r="58" spans="1:20" x14ac:dyDescent="0.25">
      <c r="A58" s="79">
        <f t="shared" si="15"/>
        <v>44307</v>
      </c>
      <c r="B58" s="80">
        <f t="shared" si="9"/>
        <v>44307</v>
      </c>
      <c r="C58" s="81">
        <f t="shared" si="10"/>
        <v>16</v>
      </c>
      <c r="D58" s="82">
        <f>'KW 16'!$H$33</f>
        <v>0</v>
      </c>
      <c r="I58" s="79">
        <f t="shared" si="16"/>
        <v>44337</v>
      </c>
      <c r="J58" s="80">
        <f t="shared" si="11"/>
        <v>44337</v>
      </c>
      <c r="K58" s="81">
        <f t="shared" si="12"/>
        <v>20</v>
      </c>
      <c r="L58" s="82">
        <f>'KW 20'!$L$33</f>
        <v>0</v>
      </c>
      <c r="Q58" s="79">
        <f t="shared" si="17"/>
        <v>44368</v>
      </c>
      <c r="R58" s="80">
        <f t="shared" si="13"/>
        <v>44368</v>
      </c>
      <c r="S58" s="81">
        <f t="shared" si="14"/>
        <v>25</v>
      </c>
      <c r="T58" s="94">
        <f>'KW 25'!$D$33</f>
        <v>0</v>
      </c>
    </row>
    <row r="59" spans="1:20" x14ac:dyDescent="0.25">
      <c r="A59" s="79">
        <f t="shared" si="15"/>
        <v>44308</v>
      </c>
      <c r="B59" s="80">
        <f t="shared" si="9"/>
        <v>44308</v>
      </c>
      <c r="C59" s="81">
        <f t="shared" si="10"/>
        <v>16</v>
      </c>
      <c r="D59" s="82">
        <f>'KW 16'!$J$33</f>
        <v>0</v>
      </c>
      <c r="I59" s="79">
        <f t="shared" si="16"/>
        <v>44338</v>
      </c>
      <c r="J59" s="80">
        <f t="shared" si="11"/>
        <v>44338</v>
      </c>
      <c r="K59" s="81">
        <f t="shared" si="12"/>
        <v>20</v>
      </c>
      <c r="L59" s="82">
        <f>'KW 20'!$N$33</f>
        <v>0</v>
      </c>
      <c r="Q59" s="79">
        <f t="shared" si="17"/>
        <v>44369</v>
      </c>
      <c r="R59" s="80">
        <f t="shared" si="13"/>
        <v>44369</v>
      </c>
      <c r="S59" s="81">
        <f t="shared" si="14"/>
        <v>25</v>
      </c>
      <c r="T59" s="82">
        <f>'KW 25'!$F$33</f>
        <v>0</v>
      </c>
    </row>
    <row r="60" spans="1:20" x14ac:dyDescent="0.25">
      <c r="A60" s="79">
        <f t="shared" si="15"/>
        <v>44309</v>
      </c>
      <c r="B60" s="80">
        <f t="shared" si="9"/>
        <v>44309</v>
      </c>
      <c r="C60" s="81">
        <f t="shared" si="10"/>
        <v>16</v>
      </c>
      <c r="D60" s="82">
        <f>'KW 16'!$L$33</f>
        <v>0</v>
      </c>
      <c r="I60" s="79">
        <f t="shared" si="16"/>
        <v>44339</v>
      </c>
      <c r="J60" s="80">
        <f t="shared" si="11"/>
        <v>44339</v>
      </c>
      <c r="K60" s="81">
        <f t="shared" si="12"/>
        <v>20</v>
      </c>
      <c r="L60" s="82">
        <f>'KW 20'!$P$33</f>
        <v>0</v>
      </c>
      <c r="Q60" s="79">
        <f t="shared" si="17"/>
        <v>44370</v>
      </c>
      <c r="R60" s="80">
        <f t="shared" si="13"/>
        <v>44370</v>
      </c>
      <c r="S60" s="81">
        <f t="shared" si="14"/>
        <v>25</v>
      </c>
      <c r="T60" s="82">
        <f>'KW 25'!$H$33</f>
        <v>0</v>
      </c>
    </row>
    <row r="61" spans="1:20" x14ac:dyDescent="0.25">
      <c r="A61" s="79">
        <f t="shared" si="15"/>
        <v>44310</v>
      </c>
      <c r="B61" s="80">
        <f t="shared" si="9"/>
        <v>44310</v>
      </c>
      <c r="C61" s="81">
        <f t="shared" si="10"/>
        <v>16</v>
      </c>
      <c r="D61" s="82">
        <f>'KW 16'!$N$33</f>
        <v>0</v>
      </c>
      <c r="I61" s="150">
        <f t="shared" si="16"/>
        <v>44340</v>
      </c>
      <c r="J61" s="151">
        <f t="shared" si="11"/>
        <v>44340</v>
      </c>
      <c r="K61" s="152">
        <f t="shared" si="12"/>
        <v>21</v>
      </c>
      <c r="L61" s="94">
        <f>'KW 21'!$D$33</f>
        <v>0</v>
      </c>
      <c r="Q61" s="79">
        <f t="shared" si="17"/>
        <v>44371</v>
      </c>
      <c r="R61" s="80">
        <f t="shared" si="13"/>
        <v>44371</v>
      </c>
      <c r="S61" s="81">
        <f t="shared" si="14"/>
        <v>25</v>
      </c>
      <c r="T61" s="82">
        <f>'KW 25'!$J$33</f>
        <v>0</v>
      </c>
    </row>
    <row r="62" spans="1:20" ht="15.75" thickBot="1" x14ac:dyDescent="0.3">
      <c r="A62" s="79">
        <f t="shared" si="15"/>
        <v>44311</v>
      </c>
      <c r="B62" s="80">
        <f t="shared" si="9"/>
        <v>44311</v>
      </c>
      <c r="C62" s="81">
        <f t="shared" si="10"/>
        <v>16</v>
      </c>
      <c r="D62" s="87">
        <f>'KW 16'!$P$33</f>
        <v>0</v>
      </c>
      <c r="I62" s="79">
        <f t="shared" si="16"/>
        <v>44341</v>
      </c>
      <c r="J62" s="80">
        <f t="shared" si="11"/>
        <v>44341</v>
      </c>
      <c r="K62" s="81">
        <f t="shared" si="12"/>
        <v>21</v>
      </c>
      <c r="L62" s="82">
        <f>'KW 21'!$F$33</f>
        <v>0</v>
      </c>
      <c r="Q62" s="79">
        <f t="shared" si="17"/>
        <v>44372</v>
      </c>
      <c r="R62" s="80">
        <f t="shared" si="13"/>
        <v>44372</v>
      </c>
      <c r="S62" s="81">
        <f t="shared" si="14"/>
        <v>25</v>
      </c>
      <c r="T62" s="82">
        <f>'KW 25'!$L$33</f>
        <v>0</v>
      </c>
    </row>
    <row r="63" spans="1:20" ht="15.75" thickTop="1" x14ac:dyDescent="0.25">
      <c r="A63" s="79">
        <f t="shared" si="15"/>
        <v>44312</v>
      </c>
      <c r="B63" s="80">
        <f t="shared" si="9"/>
        <v>44312</v>
      </c>
      <c r="C63" s="81">
        <f t="shared" si="10"/>
        <v>17</v>
      </c>
      <c r="D63" s="82">
        <f>'KW 17'!$D$33</f>
        <v>0</v>
      </c>
      <c r="I63" s="79">
        <f t="shared" si="16"/>
        <v>44342</v>
      </c>
      <c r="J63" s="80">
        <f t="shared" si="11"/>
        <v>44342</v>
      </c>
      <c r="K63" s="81">
        <f t="shared" si="12"/>
        <v>21</v>
      </c>
      <c r="L63" s="82">
        <f>'KW 21'!$H$33</f>
        <v>0</v>
      </c>
      <c r="Q63" s="79">
        <f t="shared" si="17"/>
        <v>44373</v>
      </c>
      <c r="R63" s="80">
        <f t="shared" si="13"/>
        <v>44373</v>
      </c>
      <c r="S63" s="81">
        <f t="shared" si="14"/>
        <v>25</v>
      </c>
      <c r="T63" s="82">
        <f>'KW 25'!$N$33</f>
        <v>0</v>
      </c>
    </row>
    <row r="64" spans="1:20" x14ac:dyDescent="0.25">
      <c r="A64" s="79">
        <f t="shared" si="15"/>
        <v>44313</v>
      </c>
      <c r="B64" s="80">
        <f t="shared" si="9"/>
        <v>44313</v>
      </c>
      <c r="C64" s="81">
        <f t="shared" si="10"/>
        <v>17</v>
      </c>
      <c r="D64" s="82">
        <f>'KW 17'!$F$33</f>
        <v>0</v>
      </c>
      <c r="I64" s="79">
        <f t="shared" si="16"/>
        <v>44343</v>
      </c>
      <c r="J64" s="80">
        <f t="shared" si="11"/>
        <v>44343</v>
      </c>
      <c r="K64" s="81">
        <f t="shared" si="12"/>
        <v>21</v>
      </c>
      <c r="L64" s="82">
        <f>'KW 21'!$J$33</f>
        <v>0</v>
      </c>
      <c r="Q64" s="79">
        <f t="shared" si="17"/>
        <v>44374</v>
      </c>
      <c r="R64" s="80">
        <f t="shared" si="13"/>
        <v>44374</v>
      </c>
      <c r="S64" s="81">
        <f t="shared" si="14"/>
        <v>25</v>
      </c>
      <c r="T64" s="82">
        <f>'KW 25'!$P$33</f>
        <v>0</v>
      </c>
    </row>
    <row r="65" spans="1:23" x14ac:dyDescent="0.25">
      <c r="A65" s="79">
        <f t="shared" si="15"/>
        <v>44314</v>
      </c>
      <c r="B65" s="80">
        <f t="shared" si="9"/>
        <v>44314</v>
      </c>
      <c r="C65" s="81">
        <f t="shared" si="10"/>
        <v>17</v>
      </c>
      <c r="D65" s="82">
        <f>'KW 17'!$H$33</f>
        <v>0</v>
      </c>
      <c r="I65" s="79">
        <f t="shared" si="16"/>
        <v>44344</v>
      </c>
      <c r="J65" s="80">
        <f t="shared" si="11"/>
        <v>44344</v>
      </c>
      <c r="K65" s="81">
        <f t="shared" si="12"/>
        <v>21</v>
      </c>
      <c r="L65" s="82">
        <f>'KW 21'!$L$33</f>
        <v>0</v>
      </c>
      <c r="Q65" s="79">
        <f t="shared" si="17"/>
        <v>44375</v>
      </c>
      <c r="R65" s="80">
        <f t="shared" si="13"/>
        <v>44375</v>
      </c>
      <c r="S65" s="81">
        <f t="shared" si="14"/>
        <v>26</v>
      </c>
      <c r="T65" s="94">
        <f>'KW 26'!$D$33</f>
        <v>0</v>
      </c>
    </row>
    <row r="66" spans="1:23" x14ac:dyDescent="0.25">
      <c r="A66" s="79">
        <f t="shared" si="15"/>
        <v>44315</v>
      </c>
      <c r="B66" s="80">
        <f t="shared" si="9"/>
        <v>44315</v>
      </c>
      <c r="C66" s="81">
        <f t="shared" si="10"/>
        <v>17</v>
      </c>
      <c r="D66" s="82">
        <f>'KW 17'!$J$33</f>
        <v>0</v>
      </c>
      <c r="I66" s="79">
        <f t="shared" si="16"/>
        <v>44345</v>
      </c>
      <c r="J66" s="80">
        <f t="shared" si="11"/>
        <v>44345</v>
      </c>
      <c r="K66" s="81">
        <f t="shared" si="12"/>
        <v>21</v>
      </c>
      <c r="L66" s="82">
        <f>'KW 21'!$N$33</f>
        <v>0</v>
      </c>
      <c r="Q66" s="79">
        <f t="shared" si="17"/>
        <v>44376</v>
      </c>
      <c r="R66" s="80">
        <f t="shared" si="13"/>
        <v>44376</v>
      </c>
      <c r="S66" s="81">
        <f t="shared" si="14"/>
        <v>26</v>
      </c>
      <c r="T66" s="82">
        <f>'KW 26'!$F$33</f>
        <v>0</v>
      </c>
    </row>
    <row r="67" spans="1:23" x14ac:dyDescent="0.25">
      <c r="A67" s="79">
        <f t="shared" si="15"/>
        <v>44316</v>
      </c>
      <c r="B67" s="80">
        <f t="shared" si="9"/>
        <v>44316</v>
      </c>
      <c r="C67" s="81">
        <f t="shared" si="10"/>
        <v>17</v>
      </c>
      <c r="D67" s="82">
        <f>'KW 17'!$L$33</f>
        <v>0</v>
      </c>
      <c r="I67" s="79">
        <f t="shared" si="16"/>
        <v>44346</v>
      </c>
      <c r="J67" s="80">
        <f t="shared" si="11"/>
        <v>44346</v>
      </c>
      <c r="K67" s="81">
        <f t="shared" si="12"/>
        <v>21</v>
      </c>
      <c r="L67" s="82">
        <f>'KW 21'!$P$33</f>
        <v>0</v>
      </c>
      <c r="Q67" s="79">
        <f t="shared" si="17"/>
        <v>44377</v>
      </c>
      <c r="R67" s="80">
        <f t="shared" si="13"/>
        <v>44377</v>
      </c>
      <c r="S67" s="81">
        <f t="shared" si="14"/>
        <v>26</v>
      </c>
      <c r="T67" s="82">
        <f>'KW 26'!$H$33</f>
        <v>0</v>
      </c>
    </row>
    <row r="68" spans="1:23" ht="15.75" thickBot="1" x14ac:dyDescent="0.3">
      <c r="A68" s="84" t="str">
        <f t="shared" si="15"/>
        <v/>
      </c>
      <c r="B68" s="85" t="str">
        <f t="shared" si="9"/>
        <v/>
      </c>
      <c r="C68" s="86" t="str">
        <f t="shared" si="10"/>
        <v/>
      </c>
      <c r="D68" s="87" t="str">
        <f>IF(A68="","",'KW 17'!$P$33)</f>
        <v/>
      </c>
      <c r="I68" s="84">
        <f t="shared" si="16"/>
        <v>44347</v>
      </c>
      <c r="J68" s="85">
        <f t="shared" si="11"/>
        <v>44347</v>
      </c>
      <c r="K68" s="86">
        <f t="shared" si="12"/>
        <v>22</v>
      </c>
      <c r="L68" s="95">
        <f>'KW 22'!$D$33</f>
        <v>0</v>
      </c>
      <c r="Q68" s="84" t="str">
        <f t="shared" si="17"/>
        <v/>
      </c>
      <c r="R68" s="85" t="str">
        <f t="shared" si="13"/>
        <v/>
      </c>
      <c r="S68" s="86" t="str">
        <f t="shared" si="14"/>
        <v/>
      </c>
      <c r="T68" s="87" t="str">
        <f>IF(Q68="","",'KW 26'!$J$33)</f>
        <v/>
      </c>
    </row>
    <row r="69" spans="1:23" ht="15.75" thickTop="1" x14ac:dyDescent="0.25">
      <c r="C69" s="1" t="s">
        <v>65</v>
      </c>
      <c r="D69" s="59">
        <f>SUM(D38:D68)</f>
        <v>0</v>
      </c>
      <c r="K69" s="1" t="s">
        <v>66</v>
      </c>
      <c r="L69" s="59">
        <f>SUM(L38:L68)</f>
        <v>0</v>
      </c>
      <c r="S69" s="1" t="s">
        <v>67</v>
      </c>
      <c r="T69" s="59">
        <f>SUM(T38:T68)</f>
        <v>0</v>
      </c>
    </row>
    <row r="71" spans="1:23" ht="15.75" thickBot="1" x14ac:dyDescent="0.3">
      <c r="A71" s="75" t="s">
        <v>68</v>
      </c>
      <c r="B71" s="75">
        <f>Start!$B$1</f>
        <v>2021</v>
      </c>
      <c r="C71" s="7"/>
      <c r="D71" s="75"/>
      <c r="I71" s="75" t="s">
        <v>69</v>
      </c>
      <c r="J71" s="75">
        <f>Start!$B$1</f>
        <v>2021</v>
      </c>
      <c r="K71" s="7"/>
      <c r="L71" s="75"/>
      <c r="Q71" s="75" t="s">
        <v>70</v>
      </c>
      <c r="R71" s="75">
        <f>Start!$B$1</f>
        <v>2021</v>
      </c>
      <c r="S71" s="7"/>
      <c r="T71" s="75"/>
    </row>
    <row r="72" spans="1:23" ht="15.75" thickBot="1" x14ac:dyDescent="0.3">
      <c r="A72" s="96" t="s">
        <v>40</v>
      </c>
      <c r="B72" s="97" t="s">
        <v>48</v>
      </c>
      <c r="C72" s="97" t="s">
        <v>49</v>
      </c>
      <c r="D72" s="98" t="s">
        <v>50</v>
      </c>
      <c r="F72" s="76" t="s">
        <v>101</v>
      </c>
      <c r="G72" s="88">
        <f>SUMIF($C$73:$C$103,"26",$D$73:$D$103)</f>
        <v>0</v>
      </c>
      <c r="I72" s="76" t="s">
        <v>40</v>
      </c>
      <c r="J72" s="77" t="s">
        <v>48</v>
      </c>
      <c r="K72" s="77" t="s">
        <v>49</v>
      </c>
      <c r="L72" s="78" t="s">
        <v>50</v>
      </c>
      <c r="N72" s="76" t="s">
        <v>105</v>
      </c>
      <c r="O72" s="88">
        <f>SUMIF($K$73:$K$103,"30",$L$73:$L$103)</f>
        <v>0</v>
      </c>
      <c r="Q72" s="76" t="s">
        <v>40</v>
      </c>
      <c r="R72" s="77" t="s">
        <v>48</v>
      </c>
      <c r="S72" s="77" t="s">
        <v>49</v>
      </c>
      <c r="T72" s="78" t="s">
        <v>50</v>
      </c>
      <c r="V72" s="110" t="s">
        <v>113</v>
      </c>
      <c r="W72" s="113">
        <f>SUMIF($S$73:$S$103,"35",$T$73:$T$103)</f>
        <v>0</v>
      </c>
    </row>
    <row r="73" spans="1:23" x14ac:dyDescent="0.25">
      <c r="A73" s="99">
        <f>DATE(B71,7,1)</f>
        <v>44378</v>
      </c>
      <c r="B73" s="100">
        <f>A73</f>
        <v>44378</v>
      </c>
      <c r="C73" s="101">
        <f>IF(A73="","",WEEKNUM(A73,21))</f>
        <v>26</v>
      </c>
      <c r="D73" s="88">
        <f>'KW 26'!$J$33</f>
        <v>0</v>
      </c>
      <c r="F73" s="89" t="s">
        <v>102</v>
      </c>
      <c r="G73" s="82">
        <f>SUMIF($C$73:$C$103,"27",$D$73:$D$103)</f>
        <v>0</v>
      </c>
      <c r="I73" s="79">
        <f>DATE(J71,8,1)</f>
        <v>44409</v>
      </c>
      <c r="J73" s="80">
        <f>I73</f>
        <v>44409</v>
      </c>
      <c r="K73" s="81">
        <f>IF(I73="","",WEEKNUM(I73,21))</f>
        <v>30</v>
      </c>
      <c r="L73" s="82">
        <f>'KW 30'!$D$33</f>
        <v>0</v>
      </c>
      <c r="N73" s="89" t="s">
        <v>106</v>
      </c>
      <c r="O73" s="82">
        <f>SUMIF($K$73:$K$103,"31",$L$73:$L$103)</f>
        <v>0</v>
      </c>
      <c r="Q73" s="79">
        <f>DATE(R71,9,1)</f>
        <v>44440</v>
      </c>
      <c r="R73" s="80">
        <f>Q73</f>
        <v>44440</v>
      </c>
      <c r="S73" s="81">
        <f>IF(Q73="","",WEEKNUM(Q73,21))</f>
        <v>35</v>
      </c>
      <c r="T73" s="82">
        <f>'KW 35'!$J$33</f>
        <v>0</v>
      </c>
      <c r="V73" s="111" t="s">
        <v>114</v>
      </c>
      <c r="W73" s="114">
        <f>SUMIF($S$73:$S$103,"36",$T$73:$T$103)</f>
        <v>0</v>
      </c>
    </row>
    <row r="74" spans="1:23" x14ac:dyDescent="0.25">
      <c r="A74" s="79">
        <f>IFERROR(IF(MONTH(A73+1)=MONTH(A$73),A73+1,""),"")</f>
        <v>44379</v>
      </c>
      <c r="B74" s="80">
        <f t="shared" ref="B74:B103" si="18">A74</f>
        <v>44379</v>
      </c>
      <c r="C74" s="81">
        <f t="shared" ref="C74:C103" si="19">IF(A74="","",WEEKNUM(A74,21))</f>
        <v>26</v>
      </c>
      <c r="D74" s="82">
        <f>'KW 26'!$L$33</f>
        <v>0</v>
      </c>
      <c r="F74" s="89" t="s">
        <v>103</v>
      </c>
      <c r="G74" s="82">
        <f>SUMIF($C$73:$C$103,"28",$D$73:$D$103)</f>
        <v>0</v>
      </c>
      <c r="I74" s="79">
        <f>IFERROR(IF(MONTH(I73+1)=MONTH(I$73),I73+1,""),"")</f>
        <v>44410</v>
      </c>
      <c r="J74" s="80">
        <f t="shared" ref="J74:J103" si="20">I74</f>
        <v>44410</v>
      </c>
      <c r="K74" s="81">
        <f t="shared" ref="K74:K103" si="21">IF(I74="","",WEEKNUM(I74,21))</f>
        <v>31</v>
      </c>
      <c r="L74" s="82">
        <f>'KW 31'!$F$33</f>
        <v>0</v>
      </c>
      <c r="N74" s="89" t="s">
        <v>110</v>
      </c>
      <c r="O74" s="82">
        <f>SUMIF($K$73:$K$103,"32",$L$73:$L$103)</f>
        <v>0</v>
      </c>
      <c r="Q74" s="79">
        <f>IFERROR(IF(MONTH(Q73+1)=MONTH(Q$73),Q73+1,""),"")</f>
        <v>44441</v>
      </c>
      <c r="R74" s="80">
        <f t="shared" ref="R74:R103" si="22">Q74</f>
        <v>44441</v>
      </c>
      <c r="S74" s="81">
        <f t="shared" ref="S74:S103" si="23">IF(Q74="","",WEEKNUM(Q74,21))</f>
        <v>35</v>
      </c>
      <c r="T74" s="82">
        <f>'KW 35'!$L$33</f>
        <v>0</v>
      </c>
      <c r="V74" s="111" t="s">
        <v>115</v>
      </c>
      <c r="W74" s="114">
        <f>SUMIF($S$73:$S$103,"37",$T$73:$T$103)</f>
        <v>0</v>
      </c>
    </row>
    <row r="75" spans="1:23" x14ac:dyDescent="0.25">
      <c r="A75" s="79">
        <f t="shared" ref="A75:A103" si="24">IFERROR(IF(MONTH(A74+1)=MONTH(A$73),A74+1,""),"")</f>
        <v>44380</v>
      </c>
      <c r="B75" s="80">
        <f t="shared" si="18"/>
        <v>44380</v>
      </c>
      <c r="C75" s="81">
        <f t="shared" si="19"/>
        <v>26</v>
      </c>
      <c r="D75" s="82">
        <f>'KW 26'!$N$33</f>
        <v>0</v>
      </c>
      <c r="F75" s="89" t="s">
        <v>104</v>
      </c>
      <c r="G75" s="82">
        <f>SUMIF($C$73:$C$103,"29",$D$73:$D$103)</f>
        <v>0</v>
      </c>
      <c r="I75" s="79">
        <f t="shared" ref="I75:I103" si="25">IFERROR(IF(MONTH(I74+1)=MONTH(I$73),I74+1,""),"")</f>
        <v>44411</v>
      </c>
      <c r="J75" s="80">
        <f t="shared" si="20"/>
        <v>44411</v>
      </c>
      <c r="K75" s="81">
        <f t="shared" si="21"/>
        <v>31</v>
      </c>
      <c r="L75" s="82">
        <f>'KW 31'!$H$33</f>
        <v>0</v>
      </c>
      <c r="N75" s="89" t="s">
        <v>111</v>
      </c>
      <c r="O75" s="82">
        <f>SUMIF($K$73:$K$103,"33",$L$73:$L$103)</f>
        <v>0</v>
      </c>
      <c r="Q75" s="79">
        <f t="shared" ref="Q75:Q103" si="26">IFERROR(IF(MONTH(Q74+1)=MONTH(Q$73),Q74+1,""),"")</f>
        <v>44442</v>
      </c>
      <c r="R75" s="80">
        <f t="shared" si="22"/>
        <v>44442</v>
      </c>
      <c r="S75" s="81">
        <f t="shared" si="23"/>
        <v>35</v>
      </c>
      <c r="T75" s="82">
        <f>'KW 35'!$N$33</f>
        <v>0</v>
      </c>
      <c r="V75" s="111" t="s">
        <v>116</v>
      </c>
      <c r="W75" s="114">
        <f>SUMIF($S$73:$S$103,"38",$T$73:$T$103)</f>
        <v>0</v>
      </c>
    </row>
    <row r="76" spans="1:23" x14ac:dyDescent="0.25">
      <c r="A76" s="79">
        <f t="shared" si="24"/>
        <v>44381</v>
      </c>
      <c r="B76" s="80">
        <f t="shared" si="18"/>
        <v>44381</v>
      </c>
      <c r="C76" s="81">
        <f t="shared" si="19"/>
        <v>26</v>
      </c>
      <c r="D76" s="82">
        <f>'KW 26'!$P$33</f>
        <v>0</v>
      </c>
      <c r="F76" s="89" t="s">
        <v>105</v>
      </c>
      <c r="G76" s="82">
        <f>SUMIF($C$73:$C$103,"30",$D$73:$D$103)</f>
        <v>0</v>
      </c>
      <c r="I76" s="79">
        <f t="shared" si="25"/>
        <v>44412</v>
      </c>
      <c r="J76" s="80">
        <f t="shared" si="20"/>
        <v>44412</v>
      </c>
      <c r="K76" s="81">
        <f t="shared" si="21"/>
        <v>31</v>
      </c>
      <c r="L76" s="82">
        <f>'KW 31'!$J$33</f>
        <v>0</v>
      </c>
      <c r="N76" s="89" t="s">
        <v>112</v>
      </c>
      <c r="O76" s="82">
        <f>SUMIF($K$73:$K$103,"34",$L$73:$L$103)</f>
        <v>0</v>
      </c>
      <c r="Q76" s="79">
        <f t="shared" si="26"/>
        <v>44443</v>
      </c>
      <c r="R76" s="80">
        <f t="shared" si="22"/>
        <v>44443</v>
      </c>
      <c r="S76" s="81">
        <f t="shared" si="23"/>
        <v>35</v>
      </c>
      <c r="T76" s="82">
        <f>'KW 35'!$P$33</f>
        <v>0</v>
      </c>
      <c r="V76" s="111" t="s">
        <v>117</v>
      </c>
      <c r="W76" s="114">
        <f>SUMIF($S$73:$S$103,"39",$T$73:$T$103)</f>
        <v>0</v>
      </c>
    </row>
    <row r="77" spans="1:23" ht="15.75" thickBot="1" x14ac:dyDescent="0.3">
      <c r="A77" s="79">
        <f t="shared" si="24"/>
        <v>44382</v>
      </c>
      <c r="B77" s="80">
        <f t="shared" si="18"/>
        <v>44382</v>
      </c>
      <c r="C77" s="81">
        <f t="shared" si="19"/>
        <v>27</v>
      </c>
      <c r="D77" s="82">
        <f>'KW 27'!$D$33</f>
        <v>0</v>
      </c>
      <c r="F77" s="90" t="s">
        <v>106</v>
      </c>
      <c r="G77" s="82">
        <f>SUMIF($C$73:$C$103,"31",$D$73:$D$103)</f>
        <v>0</v>
      </c>
      <c r="I77" s="79">
        <f t="shared" si="25"/>
        <v>44413</v>
      </c>
      <c r="J77" s="80">
        <f t="shared" si="20"/>
        <v>44413</v>
      </c>
      <c r="K77" s="81">
        <f t="shared" si="21"/>
        <v>31</v>
      </c>
      <c r="L77" s="82">
        <f>'KW 31'!$L$33</f>
        <v>0</v>
      </c>
      <c r="N77" s="90" t="s">
        <v>113</v>
      </c>
      <c r="O77" s="82">
        <f>SUMIF($K$73:$K$103,"35",$L$73:$L$103)</f>
        <v>0</v>
      </c>
      <c r="Q77" s="79">
        <f t="shared" si="26"/>
        <v>44444</v>
      </c>
      <c r="R77" s="80">
        <f t="shared" si="22"/>
        <v>44444</v>
      </c>
      <c r="S77" s="81">
        <f t="shared" si="23"/>
        <v>35</v>
      </c>
      <c r="T77" s="82">
        <f>'KW 35'!$D$33</f>
        <v>0</v>
      </c>
      <c r="V77" s="112" t="s">
        <v>118</v>
      </c>
      <c r="W77" s="115">
        <f>SUMIF($S$73:$S$103,"40",$T$73:$T$103)</f>
        <v>0</v>
      </c>
    </row>
    <row r="78" spans="1:23" x14ac:dyDescent="0.25">
      <c r="A78" s="79">
        <f t="shared" si="24"/>
        <v>44383</v>
      </c>
      <c r="B78" s="80">
        <f t="shared" si="18"/>
        <v>44383</v>
      </c>
      <c r="C78" s="81">
        <f t="shared" si="19"/>
        <v>27</v>
      </c>
      <c r="D78" s="82">
        <f>'KW 27'!$F$33</f>
        <v>0</v>
      </c>
      <c r="I78" s="79">
        <f t="shared" si="25"/>
        <v>44414</v>
      </c>
      <c r="J78" s="80">
        <f t="shared" si="20"/>
        <v>44414</v>
      </c>
      <c r="K78" s="81">
        <f t="shared" si="21"/>
        <v>31</v>
      </c>
      <c r="L78" s="82">
        <f>'KW 31'!$N$33</f>
        <v>0</v>
      </c>
      <c r="Q78" s="79">
        <f t="shared" si="26"/>
        <v>44445</v>
      </c>
      <c r="R78" s="80">
        <f t="shared" si="22"/>
        <v>44445</v>
      </c>
      <c r="S78" s="81">
        <f t="shared" si="23"/>
        <v>36</v>
      </c>
      <c r="T78" s="82">
        <f>'KW 36'!$F$33</f>
        <v>0</v>
      </c>
    </row>
    <row r="79" spans="1:23" x14ac:dyDescent="0.25">
      <c r="A79" s="79">
        <f t="shared" si="24"/>
        <v>44384</v>
      </c>
      <c r="B79" s="80">
        <f t="shared" si="18"/>
        <v>44384</v>
      </c>
      <c r="C79" s="81">
        <f t="shared" si="19"/>
        <v>27</v>
      </c>
      <c r="D79" s="82">
        <f>'KW 27'!$H$33</f>
        <v>0</v>
      </c>
      <c r="F79" s="7" t="s">
        <v>0</v>
      </c>
      <c r="G79" s="93">
        <f>SUM(G72:G77)</f>
        <v>0</v>
      </c>
      <c r="I79" s="79">
        <f t="shared" si="25"/>
        <v>44415</v>
      </c>
      <c r="J79" s="80">
        <f t="shared" si="20"/>
        <v>44415</v>
      </c>
      <c r="K79" s="81">
        <f t="shared" si="21"/>
        <v>31</v>
      </c>
      <c r="L79" s="82">
        <f>'KW 31'!$P$33</f>
        <v>0</v>
      </c>
      <c r="N79" s="7" t="s">
        <v>0</v>
      </c>
      <c r="O79" s="93">
        <f>SUM(O72:O77)</f>
        <v>0</v>
      </c>
      <c r="Q79" s="79">
        <f t="shared" si="26"/>
        <v>44446</v>
      </c>
      <c r="R79" s="80">
        <f t="shared" si="22"/>
        <v>44446</v>
      </c>
      <c r="S79" s="81">
        <f t="shared" si="23"/>
        <v>36</v>
      </c>
      <c r="T79" s="82">
        <f>'KW 36'!$H$33</f>
        <v>0</v>
      </c>
      <c r="V79" s="7" t="s">
        <v>0</v>
      </c>
      <c r="W79" s="93">
        <f>SUM(W72:W77)</f>
        <v>0</v>
      </c>
    </row>
    <row r="80" spans="1:23" x14ac:dyDescent="0.25">
      <c r="A80" s="79">
        <f t="shared" si="24"/>
        <v>44385</v>
      </c>
      <c r="B80" s="80">
        <f t="shared" si="18"/>
        <v>44385</v>
      </c>
      <c r="C80" s="81">
        <f t="shared" si="19"/>
        <v>27</v>
      </c>
      <c r="D80" s="82">
        <f>'KW 27'!$J$33</f>
        <v>0</v>
      </c>
      <c r="I80" s="79">
        <f t="shared" si="25"/>
        <v>44416</v>
      </c>
      <c r="J80" s="80">
        <f t="shared" si="20"/>
        <v>44416</v>
      </c>
      <c r="K80" s="81">
        <f t="shared" si="21"/>
        <v>31</v>
      </c>
      <c r="L80" s="82">
        <f>'KW 31'!$D$33</f>
        <v>0</v>
      </c>
      <c r="Q80" s="79">
        <f t="shared" si="26"/>
        <v>44447</v>
      </c>
      <c r="R80" s="80">
        <f t="shared" si="22"/>
        <v>44447</v>
      </c>
      <c r="S80" s="81">
        <f t="shared" si="23"/>
        <v>36</v>
      </c>
      <c r="T80" s="82">
        <f>'KW 36'!$J$33</f>
        <v>0</v>
      </c>
    </row>
    <row r="81" spans="1:20" x14ac:dyDescent="0.25">
      <c r="A81" s="79">
        <f t="shared" si="24"/>
        <v>44386</v>
      </c>
      <c r="B81" s="80">
        <f t="shared" si="18"/>
        <v>44386</v>
      </c>
      <c r="C81" s="81">
        <f t="shared" si="19"/>
        <v>27</v>
      </c>
      <c r="D81" s="82">
        <f>'KW 27'!$L$33</f>
        <v>0</v>
      </c>
      <c r="I81" s="79">
        <f t="shared" si="25"/>
        <v>44417</v>
      </c>
      <c r="J81" s="80">
        <f t="shared" si="20"/>
        <v>44417</v>
      </c>
      <c r="K81" s="81">
        <f t="shared" si="21"/>
        <v>32</v>
      </c>
      <c r="L81" s="82">
        <f>'KW 32'!$F$33</f>
        <v>0</v>
      </c>
      <c r="Q81" s="79">
        <f t="shared" si="26"/>
        <v>44448</v>
      </c>
      <c r="R81" s="80">
        <f t="shared" si="22"/>
        <v>44448</v>
      </c>
      <c r="S81" s="81">
        <f t="shared" si="23"/>
        <v>36</v>
      </c>
      <c r="T81" s="82">
        <f>'KW 36'!$L$33</f>
        <v>0</v>
      </c>
    </row>
    <row r="82" spans="1:20" x14ac:dyDescent="0.25">
      <c r="A82" s="79">
        <f t="shared" si="24"/>
        <v>44387</v>
      </c>
      <c r="B82" s="80">
        <f t="shared" si="18"/>
        <v>44387</v>
      </c>
      <c r="C82" s="81">
        <f t="shared" si="19"/>
        <v>27</v>
      </c>
      <c r="D82" s="82">
        <f>'KW 27'!$N$33</f>
        <v>0</v>
      </c>
      <c r="I82" s="79">
        <f t="shared" si="25"/>
        <v>44418</v>
      </c>
      <c r="J82" s="80">
        <f t="shared" si="20"/>
        <v>44418</v>
      </c>
      <c r="K82" s="81">
        <f t="shared" si="21"/>
        <v>32</v>
      </c>
      <c r="L82" s="82">
        <f>'KW 32'!$H$33</f>
        <v>0</v>
      </c>
      <c r="Q82" s="79">
        <f t="shared" si="26"/>
        <v>44449</v>
      </c>
      <c r="R82" s="80">
        <f t="shared" si="22"/>
        <v>44449</v>
      </c>
      <c r="S82" s="81">
        <f t="shared" si="23"/>
        <v>36</v>
      </c>
      <c r="T82" s="82">
        <f>'KW 36'!$N$33</f>
        <v>0</v>
      </c>
    </row>
    <row r="83" spans="1:20" x14ac:dyDescent="0.25">
      <c r="A83" s="79">
        <f t="shared" si="24"/>
        <v>44388</v>
      </c>
      <c r="B83" s="80">
        <f t="shared" si="18"/>
        <v>44388</v>
      </c>
      <c r="C83" s="81">
        <f t="shared" si="19"/>
        <v>27</v>
      </c>
      <c r="D83" s="82">
        <f>'KW 27'!$P$33</f>
        <v>0</v>
      </c>
      <c r="I83" s="79">
        <f t="shared" si="25"/>
        <v>44419</v>
      </c>
      <c r="J83" s="80">
        <f t="shared" si="20"/>
        <v>44419</v>
      </c>
      <c r="K83" s="81">
        <f t="shared" si="21"/>
        <v>32</v>
      </c>
      <c r="L83" s="82">
        <f>'KW 32'!$J$33</f>
        <v>0</v>
      </c>
      <c r="Q83" s="79">
        <f t="shared" si="26"/>
        <v>44450</v>
      </c>
      <c r="R83" s="80">
        <f t="shared" si="22"/>
        <v>44450</v>
      </c>
      <c r="S83" s="81">
        <f t="shared" si="23"/>
        <v>36</v>
      </c>
      <c r="T83" s="82">
        <f>'KW 36'!$P$33</f>
        <v>0</v>
      </c>
    </row>
    <row r="84" spans="1:20" x14ac:dyDescent="0.25">
      <c r="A84" s="79">
        <f t="shared" si="24"/>
        <v>44389</v>
      </c>
      <c r="B84" s="80">
        <f t="shared" si="18"/>
        <v>44389</v>
      </c>
      <c r="C84" s="81">
        <f t="shared" si="19"/>
        <v>28</v>
      </c>
      <c r="D84" s="82">
        <f>'KW 28'!$D$33</f>
        <v>0</v>
      </c>
      <c r="I84" s="79">
        <f t="shared" si="25"/>
        <v>44420</v>
      </c>
      <c r="J84" s="80">
        <f t="shared" si="20"/>
        <v>44420</v>
      </c>
      <c r="K84" s="81">
        <f t="shared" si="21"/>
        <v>32</v>
      </c>
      <c r="L84" s="82">
        <f>'KW 32'!$L$33</f>
        <v>0</v>
      </c>
      <c r="Q84" s="79">
        <f t="shared" si="26"/>
        <v>44451</v>
      </c>
      <c r="R84" s="80">
        <f t="shared" si="22"/>
        <v>44451</v>
      </c>
      <c r="S84" s="81">
        <f t="shared" si="23"/>
        <v>36</v>
      </c>
      <c r="T84" s="82">
        <f>'KW 36'!$D$33</f>
        <v>0</v>
      </c>
    </row>
    <row r="85" spans="1:20" x14ac:dyDescent="0.25">
      <c r="A85" s="79">
        <f t="shared" si="24"/>
        <v>44390</v>
      </c>
      <c r="B85" s="80">
        <f t="shared" si="18"/>
        <v>44390</v>
      </c>
      <c r="C85" s="81">
        <f t="shared" si="19"/>
        <v>28</v>
      </c>
      <c r="D85" s="82">
        <f>'KW 28'!$F$33</f>
        <v>0</v>
      </c>
      <c r="I85" s="79">
        <f t="shared" si="25"/>
        <v>44421</v>
      </c>
      <c r="J85" s="80">
        <f t="shared" si="20"/>
        <v>44421</v>
      </c>
      <c r="K85" s="81">
        <f t="shared" si="21"/>
        <v>32</v>
      </c>
      <c r="L85" s="82">
        <f>'KW 32'!$N$33</f>
        <v>0</v>
      </c>
      <c r="Q85" s="79">
        <f t="shared" si="26"/>
        <v>44452</v>
      </c>
      <c r="R85" s="80">
        <f t="shared" si="22"/>
        <v>44452</v>
      </c>
      <c r="S85" s="81">
        <f t="shared" si="23"/>
        <v>37</v>
      </c>
      <c r="T85" s="82">
        <f>'KW 37'!$F$33</f>
        <v>0</v>
      </c>
    </row>
    <row r="86" spans="1:20" x14ac:dyDescent="0.25">
      <c r="A86" s="79">
        <f t="shared" si="24"/>
        <v>44391</v>
      </c>
      <c r="B86" s="80">
        <f t="shared" si="18"/>
        <v>44391</v>
      </c>
      <c r="C86" s="81">
        <f t="shared" si="19"/>
        <v>28</v>
      </c>
      <c r="D86" s="82">
        <f>'KW 28'!$H$33</f>
        <v>0</v>
      </c>
      <c r="I86" s="79">
        <f t="shared" si="25"/>
        <v>44422</v>
      </c>
      <c r="J86" s="80">
        <f t="shared" si="20"/>
        <v>44422</v>
      </c>
      <c r="K86" s="81">
        <f t="shared" si="21"/>
        <v>32</v>
      </c>
      <c r="L86" s="82">
        <f>'KW 32'!$P$33</f>
        <v>0</v>
      </c>
      <c r="Q86" s="79">
        <f t="shared" si="26"/>
        <v>44453</v>
      </c>
      <c r="R86" s="80">
        <f t="shared" si="22"/>
        <v>44453</v>
      </c>
      <c r="S86" s="81">
        <f t="shared" si="23"/>
        <v>37</v>
      </c>
      <c r="T86" s="82">
        <f>'KW 37'!$H$33</f>
        <v>0</v>
      </c>
    </row>
    <row r="87" spans="1:20" x14ac:dyDescent="0.25">
      <c r="A87" s="79">
        <f t="shared" si="24"/>
        <v>44392</v>
      </c>
      <c r="B87" s="80">
        <f t="shared" si="18"/>
        <v>44392</v>
      </c>
      <c r="C87" s="81">
        <f t="shared" si="19"/>
        <v>28</v>
      </c>
      <c r="D87" s="82">
        <f>'KW 28'!$J$33</f>
        <v>0</v>
      </c>
      <c r="I87" s="79">
        <f t="shared" si="25"/>
        <v>44423</v>
      </c>
      <c r="J87" s="80">
        <f t="shared" si="20"/>
        <v>44423</v>
      </c>
      <c r="K87" s="81">
        <f t="shared" si="21"/>
        <v>32</v>
      </c>
      <c r="L87" s="82">
        <f>'KW 32'!$D$33</f>
        <v>0</v>
      </c>
      <c r="Q87" s="79">
        <f t="shared" si="26"/>
        <v>44454</v>
      </c>
      <c r="R87" s="80">
        <f t="shared" si="22"/>
        <v>44454</v>
      </c>
      <c r="S87" s="81">
        <f t="shared" si="23"/>
        <v>37</v>
      </c>
      <c r="T87" s="82">
        <f>'KW 37'!$J$33</f>
        <v>0</v>
      </c>
    </row>
    <row r="88" spans="1:20" x14ac:dyDescent="0.25">
      <c r="A88" s="79">
        <f t="shared" si="24"/>
        <v>44393</v>
      </c>
      <c r="B88" s="80">
        <f t="shared" si="18"/>
        <v>44393</v>
      </c>
      <c r="C88" s="81">
        <f t="shared" si="19"/>
        <v>28</v>
      </c>
      <c r="D88" s="82">
        <f>'KW 28'!$L$33</f>
        <v>0</v>
      </c>
      <c r="I88" s="79">
        <f t="shared" si="25"/>
        <v>44424</v>
      </c>
      <c r="J88" s="80">
        <f t="shared" si="20"/>
        <v>44424</v>
      </c>
      <c r="K88" s="81">
        <f t="shared" si="21"/>
        <v>33</v>
      </c>
      <c r="L88" s="82">
        <f>'KW 33'!$F$33</f>
        <v>0</v>
      </c>
      <c r="Q88" s="79">
        <f t="shared" si="26"/>
        <v>44455</v>
      </c>
      <c r="R88" s="80">
        <f t="shared" si="22"/>
        <v>44455</v>
      </c>
      <c r="S88" s="81">
        <f t="shared" si="23"/>
        <v>37</v>
      </c>
      <c r="T88" s="82">
        <f>'KW 37'!$L$33</f>
        <v>0</v>
      </c>
    </row>
    <row r="89" spans="1:20" x14ac:dyDescent="0.25">
      <c r="A89" s="79">
        <f t="shared" si="24"/>
        <v>44394</v>
      </c>
      <c r="B89" s="80">
        <f t="shared" si="18"/>
        <v>44394</v>
      </c>
      <c r="C89" s="81">
        <f t="shared" si="19"/>
        <v>28</v>
      </c>
      <c r="D89" s="82">
        <f>'KW 28'!$N$33</f>
        <v>0</v>
      </c>
      <c r="I89" s="79">
        <f t="shared" si="25"/>
        <v>44425</v>
      </c>
      <c r="J89" s="80">
        <f t="shared" si="20"/>
        <v>44425</v>
      </c>
      <c r="K89" s="81">
        <f t="shared" si="21"/>
        <v>33</v>
      </c>
      <c r="L89" s="82">
        <f>'KW 33'!$H$33</f>
        <v>0</v>
      </c>
      <c r="Q89" s="79">
        <f t="shared" si="26"/>
        <v>44456</v>
      </c>
      <c r="R89" s="80">
        <f t="shared" si="22"/>
        <v>44456</v>
      </c>
      <c r="S89" s="81">
        <f t="shared" si="23"/>
        <v>37</v>
      </c>
      <c r="T89" s="82">
        <f>'KW 37'!$N$33</f>
        <v>0</v>
      </c>
    </row>
    <row r="90" spans="1:20" x14ac:dyDescent="0.25">
      <c r="A90" s="79">
        <f t="shared" si="24"/>
        <v>44395</v>
      </c>
      <c r="B90" s="80">
        <f t="shared" si="18"/>
        <v>44395</v>
      </c>
      <c r="C90" s="81">
        <f t="shared" si="19"/>
        <v>28</v>
      </c>
      <c r="D90" s="82">
        <f>'KW 28'!$P$33</f>
        <v>0</v>
      </c>
      <c r="I90" s="79">
        <f t="shared" si="25"/>
        <v>44426</v>
      </c>
      <c r="J90" s="80">
        <f t="shared" si="20"/>
        <v>44426</v>
      </c>
      <c r="K90" s="81">
        <f t="shared" si="21"/>
        <v>33</v>
      </c>
      <c r="L90" s="82">
        <f>'KW 33'!$J$33</f>
        <v>0</v>
      </c>
      <c r="Q90" s="79">
        <f t="shared" si="26"/>
        <v>44457</v>
      </c>
      <c r="R90" s="80">
        <f t="shared" si="22"/>
        <v>44457</v>
      </c>
      <c r="S90" s="81">
        <f t="shared" si="23"/>
        <v>37</v>
      </c>
      <c r="T90" s="82">
        <f>'KW 37'!$P$33</f>
        <v>0</v>
      </c>
    </row>
    <row r="91" spans="1:20" x14ac:dyDescent="0.25">
      <c r="A91" s="79">
        <f t="shared" si="24"/>
        <v>44396</v>
      </c>
      <c r="B91" s="80">
        <f t="shared" si="18"/>
        <v>44396</v>
      </c>
      <c r="C91" s="81">
        <f t="shared" si="19"/>
        <v>29</v>
      </c>
      <c r="D91" s="82">
        <f>'KW 29'!$D$33</f>
        <v>0</v>
      </c>
      <c r="I91" s="79">
        <f t="shared" si="25"/>
        <v>44427</v>
      </c>
      <c r="J91" s="80">
        <f t="shared" si="20"/>
        <v>44427</v>
      </c>
      <c r="K91" s="81">
        <f t="shared" si="21"/>
        <v>33</v>
      </c>
      <c r="L91" s="82">
        <f>'KW 33'!$L$33</f>
        <v>0</v>
      </c>
      <c r="Q91" s="79">
        <f t="shared" si="26"/>
        <v>44458</v>
      </c>
      <c r="R91" s="80">
        <f t="shared" si="22"/>
        <v>44458</v>
      </c>
      <c r="S91" s="81">
        <f t="shared" si="23"/>
        <v>37</v>
      </c>
      <c r="T91" s="82">
        <f>'KW 37'!$D$33</f>
        <v>0</v>
      </c>
    </row>
    <row r="92" spans="1:20" x14ac:dyDescent="0.25">
      <c r="A92" s="79">
        <f t="shared" si="24"/>
        <v>44397</v>
      </c>
      <c r="B92" s="80">
        <f t="shared" si="18"/>
        <v>44397</v>
      </c>
      <c r="C92" s="81">
        <f t="shared" si="19"/>
        <v>29</v>
      </c>
      <c r="D92" s="82">
        <f>'KW 29'!$F$33</f>
        <v>0</v>
      </c>
      <c r="I92" s="79">
        <f t="shared" si="25"/>
        <v>44428</v>
      </c>
      <c r="J92" s="80">
        <f t="shared" si="20"/>
        <v>44428</v>
      </c>
      <c r="K92" s="81">
        <f t="shared" si="21"/>
        <v>33</v>
      </c>
      <c r="L92" s="82">
        <f>'KW 33'!$N$33</f>
        <v>0</v>
      </c>
      <c r="Q92" s="79">
        <f t="shared" si="26"/>
        <v>44459</v>
      </c>
      <c r="R92" s="80">
        <f t="shared" si="22"/>
        <v>44459</v>
      </c>
      <c r="S92" s="81">
        <f t="shared" si="23"/>
        <v>38</v>
      </c>
      <c r="T92" s="82">
        <f>'KW 38'!$F$33</f>
        <v>0</v>
      </c>
    </row>
    <row r="93" spans="1:20" x14ac:dyDescent="0.25">
      <c r="A93" s="79">
        <f t="shared" si="24"/>
        <v>44398</v>
      </c>
      <c r="B93" s="80">
        <f t="shared" si="18"/>
        <v>44398</v>
      </c>
      <c r="C93" s="81">
        <f t="shared" si="19"/>
        <v>29</v>
      </c>
      <c r="D93" s="82">
        <f>'KW 29'!$H$33</f>
        <v>0</v>
      </c>
      <c r="I93" s="79">
        <f t="shared" si="25"/>
        <v>44429</v>
      </c>
      <c r="J93" s="80">
        <f t="shared" si="20"/>
        <v>44429</v>
      </c>
      <c r="K93" s="81">
        <f t="shared" si="21"/>
        <v>33</v>
      </c>
      <c r="L93" s="82">
        <f>'KW 33'!$P$33</f>
        <v>0</v>
      </c>
      <c r="Q93" s="79">
        <f t="shared" si="26"/>
        <v>44460</v>
      </c>
      <c r="R93" s="80">
        <f t="shared" si="22"/>
        <v>44460</v>
      </c>
      <c r="S93" s="81">
        <f t="shared" si="23"/>
        <v>38</v>
      </c>
      <c r="T93" s="82">
        <f>'KW 38'!$H$33</f>
        <v>0</v>
      </c>
    </row>
    <row r="94" spans="1:20" x14ac:dyDescent="0.25">
      <c r="A94" s="79">
        <f t="shared" si="24"/>
        <v>44399</v>
      </c>
      <c r="B94" s="80">
        <f t="shared" si="18"/>
        <v>44399</v>
      </c>
      <c r="C94" s="81">
        <f t="shared" si="19"/>
        <v>29</v>
      </c>
      <c r="D94" s="82">
        <f>'KW 29'!$J$33</f>
        <v>0</v>
      </c>
      <c r="I94" s="79">
        <f t="shared" si="25"/>
        <v>44430</v>
      </c>
      <c r="J94" s="80">
        <f t="shared" si="20"/>
        <v>44430</v>
      </c>
      <c r="K94" s="81">
        <f t="shared" si="21"/>
        <v>33</v>
      </c>
      <c r="L94" s="82">
        <f>'KW 33'!$D$33</f>
        <v>0</v>
      </c>
      <c r="Q94" s="79">
        <f t="shared" si="26"/>
        <v>44461</v>
      </c>
      <c r="R94" s="80">
        <f t="shared" si="22"/>
        <v>44461</v>
      </c>
      <c r="S94" s="81">
        <f t="shared" si="23"/>
        <v>38</v>
      </c>
      <c r="T94" s="82">
        <f>'KW 38'!$J$33</f>
        <v>0</v>
      </c>
    </row>
    <row r="95" spans="1:20" x14ac:dyDescent="0.25">
      <c r="A95" s="79">
        <f t="shared" si="24"/>
        <v>44400</v>
      </c>
      <c r="B95" s="80">
        <f t="shared" si="18"/>
        <v>44400</v>
      </c>
      <c r="C95" s="81">
        <f t="shared" si="19"/>
        <v>29</v>
      </c>
      <c r="D95" s="82">
        <f>'KW 29'!$L$33</f>
        <v>0</v>
      </c>
      <c r="I95" s="79">
        <f t="shared" si="25"/>
        <v>44431</v>
      </c>
      <c r="J95" s="80">
        <f t="shared" si="20"/>
        <v>44431</v>
      </c>
      <c r="K95" s="81">
        <f t="shared" si="21"/>
        <v>34</v>
      </c>
      <c r="L95" s="82">
        <f>'KW 34'!$F$33</f>
        <v>0</v>
      </c>
      <c r="Q95" s="79">
        <f t="shared" si="26"/>
        <v>44462</v>
      </c>
      <c r="R95" s="80">
        <f t="shared" si="22"/>
        <v>44462</v>
      </c>
      <c r="S95" s="81">
        <f t="shared" si="23"/>
        <v>38</v>
      </c>
      <c r="T95" s="82">
        <f>'KW 38'!$L$33</f>
        <v>0</v>
      </c>
    </row>
    <row r="96" spans="1:20" x14ac:dyDescent="0.25">
      <c r="A96" s="79">
        <f t="shared" si="24"/>
        <v>44401</v>
      </c>
      <c r="B96" s="80">
        <f t="shared" si="18"/>
        <v>44401</v>
      </c>
      <c r="C96" s="81">
        <f t="shared" si="19"/>
        <v>29</v>
      </c>
      <c r="D96" s="82">
        <f>'KW 29'!$N$33</f>
        <v>0</v>
      </c>
      <c r="I96" s="79">
        <f t="shared" si="25"/>
        <v>44432</v>
      </c>
      <c r="J96" s="80">
        <f t="shared" si="20"/>
        <v>44432</v>
      </c>
      <c r="K96" s="81">
        <f t="shared" si="21"/>
        <v>34</v>
      </c>
      <c r="L96" s="82">
        <f>'KW 34'!$H$33</f>
        <v>0</v>
      </c>
      <c r="Q96" s="79">
        <f t="shared" si="26"/>
        <v>44463</v>
      </c>
      <c r="R96" s="80">
        <f t="shared" si="22"/>
        <v>44463</v>
      </c>
      <c r="S96" s="81">
        <f t="shared" si="23"/>
        <v>38</v>
      </c>
      <c r="T96" s="82">
        <f>'KW 38'!$N$33</f>
        <v>0</v>
      </c>
    </row>
    <row r="97" spans="1:23" x14ac:dyDescent="0.25">
      <c r="A97" s="79">
        <f t="shared" si="24"/>
        <v>44402</v>
      </c>
      <c r="B97" s="80">
        <f t="shared" si="18"/>
        <v>44402</v>
      </c>
      <c r="C97" s="81">
        <f t="shared" si="19"/>
        <v>29</v>
      </c>
      <c r="D97" s="82">
        <f>'KW 29'!$P$33</f>
        <v>0</v>
      </c>
      <c r="I97" s="79">
        <f t="shared" si="25"/>
        <v>44433</v>
      </c>
      <c r="J97" s="80">
        <f t="shared" si="20"/>
        <v>44433</v>
      </c>
      <c r="K97" s="81">
        <f t="shared" si="21"/>
        <v>34</v>
      </c>
      <c r="L97" s="82">
        <f>'KW 34'!$J$33</f>
        <v>0</v>
      </c>
      <c r="Q97" s="79">
        <f t="shared" si="26"/>
        <v>44464</v>
      </c>
      <c r="R97" s="80">
        <f t="shared" si="22"/>
        <v>44464</v>
      </c>
      <c r="S97" s="81">
        <f t="shared" si="23"/>
        <v>38</v>
      </c>
      <c r="T97" s="82">
        <f>'KW 38'!$P$33</f>
        <v>0</v>
      </c>
    </row>
    <row r="98" spans="1:23" x14ac:dyDescent="0.25">
      <c r="A98" s="79">
        <f t="shared" si="24"/>
        <v>44403</v>
      </c>
      <c r="B98" s="80">
        <f t="shared" si="18"/>
        <v>44403</v>
      </c>
      <c r="C98" s="81">
        <f t="shared" si="19"/>
        <v>30</v>
      </c>
      <c r="D98" s="82">
        <f>'KW 30'!$D$33</f>
        <v>0</v>
      </c>
      <c r="I98" s="79">
        <f t="shared" si="25"/>
        <v>44434</v>
      </c>
      <c r="J98" s="80">
        <f t="shared" si="20"/>
        <v>44434</v>
      </c>
      <c r="K98" s="81">
        <f t="shared" si="21"/>
        <v>34</v>
      </c>
      <c r="L98" s="82">
        <f>'KW 34'!$L$33</f>
        <v>0</v>
      </c>
      <c r="Q98" s="79">
        <f t="shared" si="26"/>
        <v>44465</v>
      </c>
      <c r="R98" s="80">
        <f t="shared" si="22"/>
        <v>44465</v>
      </c>
      <c r="S98" s="81">
        <f t="shared" si="23"/>
        <v>38</v>
      </c>
      <c r="T98" s="82">
        <f>'KW 38'!$D$33</f>
        <v>0</v>
      </c>
    </row>
    <row r="99" spans="1:23" x14ac:dyDescent="0.25">
      <c r="A99" s="79">
        <f t="shared" si="24"/>
        <v>44404</v>
      </c>
      <c r="B99" s="80">
        <f t="shared" si="18"/>
        <v>44404</v>
      </c>
      <c r="C99" s="81">
        <f t="shared" si="19"/>
        <v>30</v>
      </c>
      <c r="D99" s="82">
        <f>'KW 30'!$F$33</f>
        <v>0</v>
      </c>
      <c r="I99" s="79">
        <f t="shared" si="25"/>
        <v>44435</v>
      </c>
      <c r="J99" s="80">
        <f t="shared" si="20"/>
        <v>44435</v>
      </c>
      <c r="K99" s="81">
        <f t="shared" si="21"/>
        <v>34</v>
      </c>
      <c r="L99" s="82">
        <f>'KW 34'!$N$33</f>
        <v>0</v>
      </c>
      <c r="Q99" s="79">
        <f t="shared" si="26"/>
        <v>44466</v>
      </c>
      <c r="R99" s="80">
        <f t="shared" si="22"/>
        <v>44466</v>
      </c>
      <c r="S99" s="81">
        <f t="shared" si="23"/>
        <v>39</v>
      </c>
      <c r="T99" s="82">
        <f>'KW 39'!$F$33</f>
        <v>0</v>
      </c>
    </row>
    <row r="100" spans="1:23" x14ac:dyDescent="0.25">
      <c r="A100" s="79">
        <f t="shared" si="24"/>
        <v>44405</v>
      </c>
      <c r="B100" s="80">
        <f t="shared" si="18"/>
        <v>44405</v>
      </c>
      <c r="C100" s="81">
        <f t="shared" si="19"/>
        <v>30</v>
      </c>
      <c r="D100" s="82">
        <f>'KW 30'!$H$33</f>
        <v>0</v>
      </c>
      <c r="I100" s="79">
        <f t="shared" si="25"/>
        <v>44436</v>
      </c>
      <c r="J100" s="80">
        <f t="shared" si="20"/>
        <v>44436</v>
      </c>
      <c r="K100" s="81">
        <f t="shared" si="21"/>
        <v>34</v>
      </c>
      <c r="L100" s="82">
        <f>'KW 34'!$P$33</f>
        <v>0</v>
      </c>
      <c r="Q100" s="79">
        <f t="shared" si="26"/>
        <v>44467</v>
      </c>
      <c r="R100" s="80">
        <f t="shared" si="22"/>
        <v>44467</v>
      </c>
      <c r="S100" s="81">
        <f t="shared" si="23"/>
        <v>39</v>
      </c>
      <c r="T100" s="82">
        <f>'KW 39'!$H$33</f>
        <v>0</v>
      </c>
    </row>
    <row r="101" spans="1:23" x14ac:dyDescent="0.25">
      <c r="A101" s="79">
        <f t="shared" si="24"/>
        <v>44406</v>
      </c>
      <c r="B101" s="80">
        <f t="shared" si="18"/>
        <v>44406</v>
      </c>
      <c r="C101" s="81">
        <f t="shared" si="19"/>
        <v>30</v>
      </c>
      <c r="D101" s="82">
        <f>'KW 30'!$J$33</f>
        <v>0</v>
      </c>
      <c r="I101" s="79">
        <f t="shared" si="25"/>
        <v>44437</v>
      </c>
      <c r="J101" s="80">
        <f t="shared" si="20"/>
        <v>44437</v>
      </c>
      <c r="K101" s="81">
        <f t="shared" si="21"/>
        <v>34</v>
      </c>
      <c r="L101" s="82">
        <f>'KW 34'!$D$33</f>
        <v>0</v>
      </c>
      <c r="Q101" s="79">
        <f t="shared" si="26"/>
        <v>44468</v>
      </c>
      <c r="R101" s="80">
        <f t="shared" si="22"/>
        <v>44468</v>
      </c>
      <c r="S101" s="81">
        <f t="shared" si="23"/>
        <v>39</v>
      </c>
      <c r="T101" s="82">
        <f>'KW 39'!$J$33</f>
        <v>0</v>
      </c>
    </row>
    <row r="102" spans="1:23" x14ac:dyDescent="0.25">
      <c r="A102" s="79">
        <f t="shared" si="24"/>
        <v>44407</v>
      </c>
      <c r="B102" s="80">
        <f t="shared" si="18"/>
        <v>44407</v>
      </c>
      <c r="C102" s="81">
        <f t="shared" si="19"/>
        <v>30</v>
      </c>
      <c r="D102" s="82">
        <f>'KW 30'!$L$33</f>
        <v>0</v>
      </c>
      <c r="I102" s="79">
        <f t="shared" si="25"/>
        <v>44438</v>
      </c>
      <c r="J102" s="80">
        <f t="shared" si="20"/>
        <v>44438</v>
      </c>
      <c r="K102" s="81">
        <f t="shared" si="21"/>
        <v>35</v>
      </c>
      <c r="L102" s="82">
        <f>IF(I102="","",'KW 35'!$F$33)</f>
        <v>0</v>
      </c>
      <c r="Q102" s="79">
        <f t="shared" si="26"/>
        <v>44469</v>
      </c>
      <c r="R102" s="80">
        <f t="shared" si="22"/>
        <v>44469</v>
      </c>
      <c r="S102" s="81">
        <f t="shared" si="23"/>
        <v>39</v>
      </c>
      <c r="T102" s="82">
        <f>'KW 39'!$L$33</f>
        <v>0</v>
      </c>
    </row>
    <row r="103" spans="1:23" ht="15.75" thickBot="1" x14ac:dyDescent="0.3">
      <c r="A103" s="84">
        <f t="shared" si="24"/>
        <v>44408</v>
      </c>
      <c r="B103" s="85">
        <f t="shared" si="18"/>
        <v>44408</v>
      </c>
      <c r="C103" s="86">
        <f t="shared" si="19"/>
        <v>30</v>
      </c>
      <c r="D103" s="87">
        <f>'KW 30'!$N$33</f>
        <v>0</v>
      </c>
      <c r="I103" s="79">
        <f t="shared" si="25"/>
        <v>44439</v>
      </c>
      <c r="J103" s="85">
        <f t="shared" si="20"/>
        <v>44439</v>
      </c>
      <c r="K103" s="86">
        <f t="shared" si="21"/>
        <v>35</v>
      </c>
      <c r="L103" s="87">
        <f>IF(I103="","",'KW 35'!$H$33)</f>
        <v>0</v>
      </c>
      <c r="Q103" s="79" t="str">
        <f t="shared" si="26"/>
        <v/>
      </c>
      <c r="R103" s="85" t="str">
        <f t="shared" si="22"/>
        <v/>
      </c>
      <c r="S103" s="86" t="str">
        <f t="shared" si="23"/>
        <v/>
      </c>
      <c r="T103" s="87" t="str">
        <f>IF(Q103="","",'KW 13'!$H$33)</f>
        <v/>
      </c>
    </row>
    <row r="104" spans="1:23" ht="15.75" thickTop="1" x14ac:dyDescent="0.25">
      <c r="C104" s="1" t="s">
        <v>71</v>
      </c>
      <c r="D104" s="59">
        <f>SUM(D73:D103)</f>
        <v>0</v>
      </c>
      <c r="K104" s="1" t="s">
        <v>72</v>
      </c>
      <c r="L104" s="59">
        <f>SUM(L73:L103)</f>
        <v>0</v>
      </c>
      <c r="S104" s="1" t="s">
        <v>73</v>
      </c>
      <c r="T104" s="59">
        <f>SUM(T73:T103)</f>
        <v>0</v>
      </c>
    </row>
    <row r="106" spans="1:23" ht="15.75" thickBot="1" x14ac:dyDescent="0.3">
      <c r="A106" s="75" t="s">
        <v>74</v>
      </c>
      <c r="B106" s="75">
        <f>Start!$B$1</f>
        <v>2021</v>
      </c>
      <c r="C106" s="7"/>
      <c r="D106" s="75"/>
      <c r="I106" s="75" t="s">
        <v>75</v>
      </c>
      <c r="J106" s="75">
        <f>Start!$B$1</f>
        <v>2021</v>
      </c>
      <c r="K106" s="7"/>
      <c r="L106" s="75"/>
      <c r="Q106" s="75" t="s">
        <v>76</v>
      </c>
      <c r="R106" s="75">
        <f>Start!$B$1</f>
        <v>2021</v>
      </c>
      <c r="S106" s="7"/>
      <c r="T106" s="75"/>
    </row>
    <row r="107" spans="1:23" x14ac:dyDescent="0.25">
      <c r="A107" s="76" t="s">
        <v>40</v>
      </c>
      <c r="B107" s="77" t="s">
        <v>48</v>
      </c>
      <c r="C107" s="77" t="s">
        <v>49</v>
      </c>
      <c r="D107" s="78" t="s">
        <v>50</v>
      </c>
      <c r="F107" s="110" t="s">
        <v>117</v>
      </c>
      <c r="G107" s="113">
        <f>SUMIF($C$108:$C$138,"39",$D$108:$D$138)</f>
        <v>0</v>
      </c>
      <c r="I107" s="76" t="s">
        <v>40</v>
      </c>
      <c r="J107" s="77" t="s">
        <v>48</v>
      </c>
      <c r="K107" s="77" t="s">
        <v>49</v>
      </c>
      <c r="L107" s="78" t="s">
        <v>50</v>
      </c>
      <c r="N107" s="110" t="s">
        <v>121</v>
      </c>
      <c r="O107" s="113">
        <f>SUMIF($K$108:$K$108,"43",$L$108:$L$138)</f>
        <v>0</v>
      </c>
      <c r="Q107" s="76" t="s">
        <v>40</v>
      </c>
      <c r="R107" s="77" t="s">
        <v>48</v>
      </c>
      <c r="S107" s="77" t="s">
        <v>49</v>
      </c>
      <c r="T107" s="78" t="s">
        <v>50</v>
      </c>
      <c r="V107" s="76" t="s">
        <v>125</v>
      </c>
      <c r="W107" s="88">
        <f>SUMIF($S$108:$S$138,"47",$T$108:$T$138)</f>
        <v>0</v>
      </c>
    </row>
    <row r="108" spans="1:23" x14ac:dyDescent="0.25">
      <c r="A108" s="79">
        <f>DATE(B106,10,1)</f>
        <v>44470</v>
      </c>
      <c r="B108" s="80">
        <f>A108</f>
        <v>44470</v>
      </c>
      <c r="C108" s="81">
        <f>IF(A108="","",WEEKNUM(A108,21))</f>
        <v>39</v>
      </c>
      <c r="D108" s="82">
        <f>'KW 39'!$L$33</f>
        <v>0</v>
      </c>
      <c r="F108" s="111" t="s">
        <v>118</v>
      </c>
      <c r="G108" s="114">
        <f>SUMIF($C$108:$C$138,"40",$D$108:$D$138)</f>
        <v>0</v>
      </c>
      <c r="I108" s="79">
        <f>DATE(J106,11,1)</f>
        <v>44501</v>
      </c>
      <c r="J108" s="80">
        <f>I108</f>
        <v>44501</v>
      </c>
      <c r="K108" s="81">
        <f>IF(I108="","",WEEKNUM(I108,21))</f>
        <v>44</v>
      </c>
      <c r="L108" s="82">
        <f>'KW 44'!$D$33</f>
        <v>0</v>
      </c>
      <c r="N108" s="111" t="s">
        <v>122</v>
      </c>
      <c r="O108" s="114">
        <f>SUMIF($K$108:$K$108,"44",$L$108:$L$138)</f>
        <v>0</v>
      </c>
      <c r="Q108" s="79">
        <f>DATE(R106,12,1)</f>
        <v>44531</v>
      </c>
      <c r="R108" s="80">
        <f>Q108</f>
        <v>44531</v>
      </c>
      <c r="S108" s="81">
        <f>IF(Q108="","",WEEKNUM(Q108,21))</f>
        <v>48</v>
      </c>
      <c r="T108" s="82">
        <f>'KW 48'!$H$33</f>
        <v>0</v>
      </c>
      <c r="V108" s="89" t="s">
        <v>126</v>
      </c>
      <c r="W108" s="82">
        <f>SUMIF($S$108:$S$138,"48",$T$108:$T$138)</f>
        <v>0</v>
      </c>
    </row>
    <row r="109" spans="1:23" x14ac:dyDescent="0.25">
      <c r="A109" s="79">
        <f>IFERROR(IF(MONTH(A108+1)=MONTH(A$108),A108+1,""),"")</f>
        <v>44471</v>
      </c>
      <c r="B109" s="80">
        <f t="shared" ref="B109:B138" si="27">A109</f>
        <v>44471</v>
      </c>
      <c r="C109" s="81">
        <f t="shared" ref="C109:C138" si="28">IF(A109="","",WEEKNUM(A109,21))</f>
        <v>39</v>
      </c>
      <c r="D109" s="82">
        <f>'KW 39'!$N$33</f>
        <v>0</v>
      </c>
      <c r="F109" s="111" t="s">
        <v>119</v>
      </c>
      <c r="G109" s="114">
        <f>SUMIF($C$108:$C$138,"41",$D$108:$D$138)</f>
        <v>0</v>
      </c>
      <c r="I109" s="79">
        <f>IFERROR(IF(MONTH(I108+1)=MONTH(I$108),I108+1,""),"")</f>
        <v>44502</v>
      </c>
      <c r="J109" s="80">
        <f t="shared" ref="J109:J138" si="29">I109</f>
        <v>44502</v>
      </c>
      <c r="K109" s="81">
        <f t="shared" ref="K109:K138" si="30">IF(I109="","",WEEKNUM(I109,21))</f>
        <v>44</v>
      </c>
      <c r="L109" s="82">
        <f>'KW 44'!$F$33</f>
        <v>0</v>
      </c>
      <c r="N109" s="111" t="s">
        <v>123</v>
      </c>
      <c r="O109" s="114">
        <f>SUMIF($K$108:$K$108,"45",$L$108:$L$138)</f>
        <v>0</v>
      </c>
      <c r="Q109" s="79">
        <f>IFERROR(IF(MONTH(Q108+1)=MONTH(Q$108),Q108+1,""),"")</f>
        <v>44532</v>
      </c>
      <c r="R109" s="80">
        <f t="shared" ref="R109:R138" si="31">Q109</f>
        <v>44532</v>
      </c>
      <c r="S109" s="81">
        <f t="shared" ref="S109:S138" si="32">IF(Q109="","",WEEKNUM(Q109,21))</f>
        <v>48</v>
      </c>
      <c r="T109" s="82">
        <f>'KW 48'!$J$33</f>
        <v>0</v>
      </c>
      <c r="V109" s="89" t="s">
        <v>127</v>
      </c>
      <c r="W109" s="82">
        <f>SUMIF($S$108:$S$138,"49",$T$108:$T$138)</f>
        <v>0</v>
      </c>
    </row>
    <row r="110" spans="1:23" x14ac:dyDescent="0.25">
      <c r="A110" s="79">
        <f t="shared" ref="A110:A138" si="33">IFERROR(IF(MONTH(A109+1)=MONTH(A$108),A109+1,""),"")</f>
        <v>44472</v>
      </c>
      <c r="B110" s="80">
        <f t="shared" si="27"/>
        <v>44472</v>
      </c>
      <c r="C110" s="81">
        <f t="shared" si="28"/>
        <v>39</v>
      </c>
      <c r="D110" s="82">
        <f>'KW 39'!$P$33</f>
        <v>0</v>
      </c>
      <c r="F110" s="111" t="s">
        <v>120</v>
      </c>
      <c r="G110" s="114">
        <f>SUMIF($C$108:$C$138,"42",$D$108:$D$138)</f>
        <v>0</v>
      </c>
      <c r="I110" s="79">
        <f t="shared" ref="I110:I138" si="34">IFERROR(IF(MONTH(I109+1)=MONTH(I$108),I109+1,""),"")</f>
        <v>44503</v>
      </c>
      <c r="J110" s="80">
        <f t="shared" si="29"/>
        <v>44503</v>
      </c>
      <c r="K110" s="81">
        <f t="shared" si="30"/>
        <v>44</v>
      </c>
      <c r="L110" s="82">
        <f>'KW 44'!$H$33</f>
        <v>0</v>
      </c>
      <c r="N110" s="111" t="s">
        <v>124</v>
      </c>
      <c r="O110" s="114">
        <f>SUMIF($K$108:$K$108,"46",$L$108:$L$138)</f>
        <v>0</v>
      </c>
      <c r="Q110" s="79">
        <f t="shared" ref="Q110:Q138" si="35">IFERROR(IF(MONTH(Q109+1)=MONTH(Q$108),Q109+1,""),"")</f>
        <v>44533</v>
      </c>
      <c r="R110" s="80">
        <f t="shared" si="31"/>
        <v>44533</v>
      </c>
      <c r="S110" s="81">
        <f t="shared" si="32"/>
        <v>48</v>
      </c>
      <c r="T110" s="82">
        <f>'KW 48'!$L$33</f>
        <v>0</v>
      </c>
      <c r="V110" s="89" t="s">
        <v>128</v>
      </c>
      <c r="W110" s="82">
        <f>SUMIF($S$108:$S$138,"50",$T$108:$T$138)</f>
        <v>0</v>
      </c>
    </row>
    <row r="111" spans="1:23" x14ac:dyDescent="0.25">
      <c r="A111" s="79">
        <f t="shared" si="33"/>
        <v>44473</v>
      </c>
      <c r="B111" s="80">
        <f t="shared" si="27"/>
        <v>44473</v>
      </c>
      <c r="C111" s="81">
        <f t="shared" si="28"/>
        <v>40</v>
      </c>
      <c r="D111" s="82">
        <f>'KW 40'!$D$33</f>
        <v>0</v>
      </c>
      <c r="F111" s="111" t="s">
        <v>121</v>
      </c>
      <c r="G111" s="114">
        <f>SUMIF($C$108:$C$138,"43",$D$108:$D$138)</f>
        <v>0</v>
      </c>
      <c r="I111" s="79">
        <f t="shared" si="34"/>
        <v>44504</v>
      </c>
      <c r="J111" s="80">
        <f t="shared" si="29"/>
        <v>44504</v>
      </c>
      <c r="K111" s="81">
        <f t="shared" si="30"/>
        <v>44</v>
      </c>
      <c r="L111" s="82">
        <f>'KW 44'!$J$33</f>
        <v>0</v>
      </c>
      <c r="N111" s="111" t="s">
        <v>125</v>
      </c>
      <c r="O111" s="114">
        <f>SUMIF($K$108:$K$108,"47",$L$108:$L$138)</f>
        <v>0</v>
      </c>
      <c r="Q111" s="79">
        <f t="shared" si="35"/>
        <v>44534</v>
      </c>
      <c r="R111" s="80">
        <f t="shared" si="31"/>
        <v>44534</v>
      </c>
      <c r="S111" s="81">
        <f t="shared" si="32"/>
        <v>48</v>
      </c>
      <c r="T111" s="82">
        <f>'KW 48'!$N$33</f>
        <v>0</v>
      </c>
      <c r="V111" s="89" t="s">
        <v>129</v>
      </c>
      <c r="W111" s="82">
        <f>SUMIF($S$108:$S$138,"51",$T$108:$T$138)</f>
        <v>0</v>
      </c>
    </row>
    <row r="112" spans="1:23" ht="15.75" thickBot="1" x14ac:dyDescent="0.3">
      <c r="A112" s="79">
        <f t="shared" si="33"/>
        <v>44474</v>
      </c>
      <c r="B112" s="80">
        <f t="shared" si="27"/>
        <v>44474</v>
      </c>
      <c r="C112" s="81">
        <f t="shared" si="28"/>
        <v>40</v>
      </c>
      <c r="D112" s="82">
        <f>'KW 40'!$F$33</f>
        <v>0</v>
      </c>
      <c r="F112" s="112" t="s">
        <v>122</v>
      </c>
      <c r="G112" s="115">
        <f>SUMIF($C$108:$C$138,"44",$D$108:$D$138)</f>
        <v>0</v>
      </c>
      <c r="I112" s="79">
        <f t="shared" si="34"/>
        <v>44505</v>
      </c>
      <c r="J112" s="80">
        <f t="shared" si="29"/>
        <v>44505</v>
      </c>
      <c r="K112" s="81">
        <f t="shared" si="30"/>
        <v>44</v>
      </c>
      <c r="L112" s="82">
        <f>'KW 44'!$L$33</f>
        <v>0</v>
      </c>
      <c r="N112" s="112" t="s">
        <v>126</v>
      </c>
      <c r="O112" s="115">
        <f>SUMIF($K$108:$K$108,"48",$L$108:$L$138)</f>
        <v>0</v>
      </c>
      <c r="Q112" s="79">
        <f t="shared" si="35"/>
        <v>44535</v>
      </c>
      <c r="R112" s="80">
        <f t="shared" si="31"/>
        <v>44535</v>
      </c>
      <c r="S112" s="81">
        <f t="shared" si="32"/>
        <v>48</v>
      </c>
      <c r="T112" s="82">
        <f>'KW 48'!$P$33</f>
        <v>0</v>
      </c>
      <c r="V112" s="89" t="s">
        <v>130</v>
      </c>
      <c r="W112" s="82">
        <f>SUMIF($S$108:$S$138,"52",$T$108:$T$138)</f>
        <v>0</v>
      </c>
    </row>
    <row r="113" spans="1:23" ht="15.75" thickBot="1" x14ac:dyDescent="0.3">
      <c r="A113" s="79">
        <f t="shared" si="33"/>
        <v>44475</v>
      </c>
      <c r="B113" s="80">
        <f t="shared" si="27"/>
        <v>44475</v>
      </c>
      <c r="C113" s="81">
        <f t="shared" si="28"/>
        <v>40</v>
      </c>
      <c r="D113" s="82">
        <f>'KW 40'!$H$33</f>
        <v>0</v>
      </c>
      <c r="I113" s="79">
        <f t="shared" si="34"/>
        <v>44506</v>
      </c>
      <c r="J113" s="80">
        <f t="shared" si="29"/>
        <v>44506</v>
      </c>
      <c r="K113" s="81">
        <f t="shared" si="30"/>
        <v>44</v>
      </c>
      <c r="L113" s="82">
        <f>'KW 44'!$N$33</f>
        <v>0</v>
      </c>
      <c r="Q113" s="79">
        <f t="shared" si="35"/>
        <v>44536</v>
      </c>
      <c r="R113" s="80">
        <f t="shared" si="31"/>
        <v>44536</v>
      </c>
      <c r="S113" s="81">
        <f t="shared" si="32"/>
        <v>49</v>
      </c>
      <c r="T113" s="82">
        <f>'KW 49'!$D$33</f>
        <v>0</v>
      </c>
      <c r="V113" s="90" t="s">
        <v>52</v>
      </c>
      <c r="W113" s="83">
        <f>SUMIF($S$108:$S$138,"53",$T$108:$T$138)</f>
        <v>0</v>
      </c>
    </row>
    <row r="114" spans="1:23" x14ac:dyDescent="0.25">
      <c r="A114" s="79">
        <f t="shared" si="33"/>
        <v>44476</v>
      </c>
      <c r="B114" s="80">
        <f t="shared" si="27"/>
        <v>44476</v>
      </c>
      <c r="C114" s="81">
        <f t="shared" si="28"/>
        <v>40</v>
      </c>
      <c r="D114" s="82">
        <f>'KW 40'!$J$33</f>
        <v>0</v>
      </c>
      <c r="F114" s="7" t="s">
        <v>0</v>
      </c>
      <c r="G114" s="93">
        <f>SUM(G107:G112)</f>
        <v>0</v>
      </c>
      <c r="I114" s="79">
        <f t="shared" si="34"/>
        <v>44507</v>
      </c>
      <c r="J114" s="80">
        <f t="shared" si="29"/>
        <v>44507</v>
      </c>
      <c r="K114" s="81">
        <f t="shared" si="30"/>
        <v>44</v>
      </c>
      <c r="L114" s="82">
        <f>'KW 44'!$P$33</f>
        <v>0</v>
      </c>
      <c r="N114" s="7" t="s">
        <v>0</v>
      </c>
      <c r="O114" s="93">
        <f>SUM(O107:O112)</f>
        <v>0</v>
      </c>
      <c r="Q114" s="79">
        <f t="shared" si="35"/>
        <v>44537</v>
      </c>
      <c r="R114" s="80">
        <f t="shared" si="31"/>
        <v>44537</v>
      </c>
      <c r="S114" s="81">
        <f t="shared" si="32"/>
        <v>49</v>
      </c>
      <c r="T114" s="82">
        <f>'KW 49'!$F$33</f>
        <v>0</v>
      </c>
    </row>
    <row r="115" spans="1:23" x14ac:dyDescent="0.25">
      <c r="A115" s="79">
        <f t="shared" si="33"/>
        <v>44477</v>
      </c>
      <c r="B115" s="80">
        <f t="shared" si="27"/>
        <v>44477</v>
      </c>
      <c r="C115" s="81">
        <f t="shared" si="28"/>
        <v>40</v>
      </c>
      <c r="D115" s="82">
        <f>'KW 40'!$L$33</f>
        <v>0</v>
      </c>
      <c r="I115" s="79">
        <f t="shared" si="34"/>
        <v>44508</v>
      </c>
      <c r="J115" s="80">
        <f t="shared" si="29"/>
        <v>44508</v>
      </c>
      <c r="K115" s="81">
        <f t="shared" si="30"/>
        <v>45</v>
      </c>
      <c r="L115" s="82">
        <f>'KW 45'!$D$33</f>
        <v>0</v>
      </c>
      <c r="Q115" s="79">
        <f t="shared" si="35"/>
        <v>44538</v>
      </c>
      <c r="R115" s="80">
        <f t="shared" si="31"/>
        <v>44538</v>
      </c>
      <c r="S115" s="81">
        <f t="shared" si="32"/>
        <v>49</v>
      </c>
      <c r="T115" s="82">
        <f>'KW 49'!$H$33</f>
        <v>0</v>
      </c>
      <c r="V115" s="7" t="s">
        <v>0</v>
      </c>
      <c r="W115" s="93">
        <f>SUM(W107:W113)</f>
        <v>0</v>
      </c>
    </row>
    <row r="116" spans="1:23" x14ac:dyDescent="0.25">
      <c r="A116" s="79">
        <f t="shared" si="33"/>
        <v>44478</v>
      </c>
      <c r="B116" s="80">
        <f t="shared" si="27"/>
        <v>44478</v>
      </c>
      <c r="C116" s="81">
        <f t="shared" si="28"/>
        <v>40</v>
      </c>
      <c r="D116" s="82">
        <f>'KW 40'!$N$33</f>
        <v>0</v>
      </c>
      <c r="I116" s="79">
        <f t="shared" si="34"/>
        <v>44509</v>
      </c>
      <c r="J116" s="80">
        <f t="shared" si="29"/>
        <v>44509</v>
      </c>
      <c r="K116" s="81">
        <f t="shared" si="30"/>
        <v>45</v>
      </c>
      <c r="L116" s="82">
        <f>'KW 45'!$F$33</f>
        <v>0</v>
      </c>
      <c r="Q116" s="79">
        <f t="shared" si="35"/>
        <v>44539</v>
      </c>
      <c r="R116" s="80">
        <f t="shared" si="31"/>
        <v>44539</v>
      </c>
      <c r="S116" s="81">
        <f t="shared" si="32"/>
        <v>49</v>
      </c>
      <c r="T116" s="82">
        <f>'KW 49'!$J$33</f>
        <v>0</v>
      </c>
    </row>
    <row r="117" spans="1:23" x14ac:dyDescent="0.25">
      <c r="A117" s="79">
        <f t="shared" si="33"/>
        <v>44479</v>
      </c>
      <c r="B117" s="80">
        <f t="shared" si="27"/>
        <v>44479</v>
      </c>
      <c r="C117" s="81">
        <f t="shared" si="28"/>
        <v>40</v>
      </c>
      <c r="D117" s="82">
        <f>'KW 40'!$P$33</f>
        <v>0</v>
      </c>
      <c r="I117" s="79">
        <f t="shared" si="34"/>
        <v>44510</v>
      </c>
      <c r="J117" s="80">
        <f t="shared" si="29"/>
        <v>44510</v>
      </c>
      <c r="K117" s="81">
        <f t="shared" si="30"/>
        <v>45</v>
      </c>
      <c r="L117" s="82">
        <f>'KW 45'!$H$33</f>
        <v>0</v>
      </c>
      <c r="Q117" s="79">
        <f t="shared" si="35"/>
        <v>44540</v>
      </c>
      <c r="R117" s="80">
        <f t="shared" si="31"/>
        <v>44540</v>
      </c>
      <c r="S117" s="81">
        <f t="shared" si="32"/>
        <v>49</v>
      </c>
      <c r="T117" s="82">
        <f>'KW 49'!$L$33</f>
        <v>0</v>
      </c>
    </row>
    <row r="118" spans="1:23" x14ac:dyDescent="0.25">
      <c r="A118" s="79">
        <f t="shared" si="33"/>
        <v>44480</v>
      </c>
      <c r="B118" s="80">
        <f t="shared" si="27"/>
        <v>44480</v>
      </c>
      <c r="C118" s="81">
        <f t="shared" si="28"/>
        <v>41</v>
      </c>
      <c r="D118" s="82">
        <f>'KW 41'!$D$33</f>
        <v>0</v>
      </c>
      <c r="I118" s="79">
        <f t="shared" si="34"/>
        <v>44511</v>
      </c>
      <c r="J118" s="80">
        <f t="shared" si="29"/>
        <v>44511</v>
      </c>
      <c r="K118" s="81">
        <f t="shared" si="30"/>
        <v>45</v>
      </c>
      <c r="L118" s="82">
        <f>'KW 45'!$J$33</f>
        <v>0</v>
      </c>
      <c r="Q118" s="79">
        <f t="shared" si="35"/>
        <v>44541</v>
      </c>
      <c r="R118" s="80">
        <f t="shared" si="31"/>
        <v>44541</v>
      </c>
      <c r="S118" s="81">
        <f t="shared" si="32"/>
        <v>49</v>
      </c>
      <c r="T118" s="82">
        <f>'KW 49'!$N$33</f>
        <v>0</v>
      </c>
    </row>
    <row r="119" spans="1:23" x14ac:dyDescent="0.25">
      <c r="A119" s="79">
        <f t="shared" si="33"/>
        <v>44481</v>
      </c>
      <c r="B119" s="80">
        <f t="shared" si="27"/>
        <v>44481</v>
      </c>
      <c r="C119" s="81">
        <f t="shared" si="28"/>
        <v>41</v>
      </c>
      <c r="D119" s="82">
        <f>'KW 41'!$F$33</f>
        <v>0</v>
      </c>
      <c r="I119" s="79">
        <f t="shared" si="34"/>
        <v>44512</v>
      </c>
      <c r="J119" s="80">
        <f t="shared" si="29"/>
        <v>44512</v>
      </c>
      <c r="K119" s="81">
        <f t="shared" si="30"/>
        <v>45</v>
      </c>
      <c r="L119" s="82">
        <f>'KW 45'!$L$33</f>
        <v>0</v>
      </c>
      <c r="Q119" s="79">
        <f t="shared" si="35"/>
        <v>44542</v>
      </c>
      <c r="R119" s="80">
        <f t="shared" si="31"/>
        <v>44542</v>
      </c>
      <c r="S119" s="81">
        <f t="shared" si="32"/>
        <v>49</v>
      </c>
      <c r="T119" s="82">
        <f>'KW 49'!$P$33</f>
        <v>0</v>
      </c>
    </row>
    <row r="120" spans="1:23" x14ac:dyDescent="0.25">
      <c r="A120" s="79">
        <f t="shared" si="33"/>
        <v>44482</v>
      </c>
      <c r="B120" s="80">
        <f t="shared" si="27"/>
        <v>44482</v>
      </c>
      <c r="C120" s="81">
        <f t="shared" si="28"/>
        <v>41</v>
      </c>
      <c r="D120" s="82">
        <f>'KW 41'!$H$33</f>
        <v>0</v>
      </c>
      <c r="I120" s="79">
        <f t="shared" si="34"/>
        <v>44513</v>
      </c>
      <c r="J120" s="80">
        <f t="shared" si="29"/>
        <v>44513</v>
      </c>
      <c r="K120" s="81">
        <f t="shared" si="30"/>
        <v>45</v>
      </c>
      <c r="L120" s="82">
        <f>'KW 45'!$N$33</f>
        <v>0</v>
      </c>
      <c r="Q120" s="79">
        <f t="shared" si="35"/>
        <v>44543</v>
      </c>
      <c r="R120" s="80">
        <f t="shared" si="31"/>
        <v>44543</v>
      </c>
      <c r="S120" s="81">
        <f t="shared" si="32"/>
        <v>50</v>
      </c>
      <c r="T120" s="82">
        <f>'KW 50'!$D$33</f>
        <v>0</v>
      </c>
    </row>
    <row r="121" spans="1:23" x14ac:dyDescent="0.25">
      <c r="A121" s="79">
        <f t="shared" si="33"/>
        <v>44483</v>
      </c>
      <c r="B121" s="80">
        <f t="shared" si="27"/>
        <v>44483</v>
      </c>
      <c r="C121" s="81">
        <f t="shared" si="28"/>
        <v>41</v>
      </c>
      <c r="D121" s="82">
        <f>'KW 41'!$J$33</f>
        <v>0</v>
      </c>
      <c r="I121" s="79">
        <f t="shared" si="34"/>
        <v>44514</v>
      </c>
      <c r="J121" s="80">
        <f t="shared" si="29"/>
        <v>44514</v>
      </c>
      <c r="K121" s="81">
        <f t="shared" si="30"/>
        <v>45</v>
      </c>
      <c r="L121" s="82">
        <f>'KW 45'!$P$33</f>
        <v>0</v>
      </c>
      <c r="Q121" s="79">
        <f t="shared" si="35"/>
        <v>44544</v>
      </c>
      <c r="R121" s="80">
        <f t="shared" si="31"/>
        <v>44544</v>
      </c>
      <c r="S121" s="81">
        <f t="shared" si="32"/>
        <v>50</v>
      </c>
      <c r="T121" s="82">
        <f>'KW 50'!$F$33</f>
        <v>0</v>
      </c>
    </row>
    <row r="122" spans="1:23" x14ac:dyDescent="0.25">
      <c r="A122" s="79">
        <f t="shared" si="33"/>
        <v>44484</v>
      </c>
      <c r="B122" s="80">
        <f t="shared" si="27"/>
        <v>44484</v>
      </c>
      <c r="C122" s="81">
        <f t="shared" si="28"/>
        <v>41</v>
      </c>
      <c r="D122" s="82">
        <f>'KW 41'!$L$33</f>
        <v>0</v>
      </c>
      <c r="I122" s="79">
        <f t="shared" si="34"/>
        <v>44515</v>
      </c>
      <c r="J122" s="80">
        <f t="shared" si="29"/>
        <v>44515</v>
      </c>
      <c r="K122" s="81">
        <f t="shared" si="30"/>
        <v>46</v>
      </c>
      <c r="L122" s="82">
        <f>'KW 46'!$D$33</f>
        <v>0</v>
      </c>
      <c r="Q122" s="79">
        <f t="shared" si="35"/>
        <v>44545</v>
      </c>
      <c r="R122" s="80">
        <f t="shared" si="31"/>
        <v>44545</v>
      </c>
      <c r="S122" s="81">
        <f t="shared" si="32"/>
        <v>50</v>
      </c>
      <c r="T122" s="82">
        <f>'KW 50'!$H$33</f>
        <v>0</v>
      </c>
    </row>
    <row r="123" spans="1:23" x14ac:dyDescent="0.25">
      <c r="A123" s="79">
        <f t="shared" si="33"/>
        <v>44485</v>
      </c>
      <c r="B123" s="80">
        <f t="shared" si="27"/>
        <v>44485</v>
      </c>
      <c r="C123" s="81">
        <f t="shared" si="28"/>
        <v>41</v>
      </c>
      <c r="D123" s="82">
        <f>'KW 41'!$N$33</f>
        <v>0</v>
      </c>
      <c r="I123" s="79">
        <f t="shared" si="34"/>
        <v>44516</v>
      </c>
      <c r="J123" s="80">
        <f t="shared" si="29"/>
        <v>44516</v>
      </c>
      <c r="K123" s="81">
        <f t="shared" si="30"/>
        <v>46</v>
      </c>
      <c r="L123" s="82">
        <f>'KW 46'!$F$33</f>
        <v>0</v>
      </c>
      <c r="Q123" s="79">
        <f t="shared" si="35"/>
        <v>44546</v>
      </c>
      <c r="R123" s="80">
        <f t="shared" si="31"/>
        <v>44546</v>
      </c>
      <c r="S123" s="81">
        <f t="shared" si="32"/>
        <v>50</v>
      </c>
      <c r="T123" s="82">
        <f>'KW 50'!$J$33</f>
        <v>0</v>
      </c>
    </row>
    <row r="124" spans="1:23" x14ac:dyDescent="0.25">
      <c r="A124" s="79">
        <f t="shared" si="33"/>
        <v>44486</v>
      </c>
      <c r="B124" s="80">
        <f t="shared" si="27"/>
        <v>44486</v>
      </c>
      <c r="C124" s="81">
        <f t="shared" si="28"/>
        <v>41</v>
      </c>
      <c r="D124" s="82">
        <f>'KW 41'!$P$33</f>
        <v>0</v>
      </c>
      <c r="I124" s="79">
        <f t="shared" si="34"/>
        <v>44517</v>
      </c>
      <c r="J124" s="80">
        <f t="shared" si="29"/>
        <v>44517</v>
      </c>
      <c r="K124" s="81">
        <f t="shared" si="30"/>
        <v>46</v>
      </c>
      <c r="L124" s="82">
        <f>'KW 46'!$H$33</f>
        <v>0</v>
      </c>
      <c r="Q124" s="79">
        <f t="shared" si="35"/>
        <v>44547</v>
      </c>
      <c r="R124" s="80">
        <f t="shared" si="31"/>
        <v>44547</v>
      </c>
      <c r="S124" s="81">
        <f t="shared" si="32"/>
        <v>50</v>
      </c>
      <c r="T124" s="82">
        <f>'KW 50'!$L$33</f>
        <v>0</v>
      </c>
    </row>
    <row r="125" spans="1:23" x14ac:dyDescent="0.25">
      <c r="A125" s="79">
        <f t="shared" si="33"/>
        <v>44487</v>
      </c>
      <c r="B125" s="80">
        <f t="shared" si="27"/>
        <v>44487</v>
      </c>
      <c r="C125" s="81">
        <f t="shared" si="28"/>
        <v>42</v>
      </c>
      <c r="D125" s="82">
        <f>'KW 42'!$D$33</f>
        <v>0</v>
      </c>
      <c r="I125" s="79">
        <f t="shared" si="34"/>
        <v>44518</v>
      </c>
      <c r="J125" s="80">
        <f t="shared" si="29"/>
        <v>44518</v>
      </c>
      <c r="K125" s="81">
        <f t="shared" si="30"/>
        <v>46</v>
      </c>
      <c r="L125" s="82">
        <f>'KW 46'!$J$33</f>
        <v>0</v>
      </c>
      <c r="Q125" s="79">
        <f t="shared" si="35"/>
        <v>44548</v>
      </c>
      <c r="R125" s="80">
        <f t="shared" si="31"/>
        <v>44548</v>
      </c>
      <c r="S125" s="81">
        <f t="shared" si="32"/>
        <v>50</v>
      </c>
      <c r="T125" s="82">
        <f>'KW 50'!$N$33</f>
        <v>0</v>
      </c>
    </row>
    <row r="126" spans="1:23" x14ac:dyDescent="0.25">
      <c r="A126" s="79">
        <f t="shared" si="33"/>
        <v>44488</v>
      </c>
      <c r="B126" s="80">
        <f t="shared" si="27"/>
        <v>44488</v>
      </c>
      <c r="C126" s="81">
        <f t="shared" si="28"/>
        <v>42</v>
      </c>
      <c r="D126" s="82">
        <f>'KW 42'!$F$33</f>
        <v>0</v>
      </c>
      <c r="I126" s="79">
        <f t="shared" si="34"/>
        <v>44519</v>
      </c>
      <c r="J126" s="80">
        <f t="shared" si="29"/>
        <v>44519</v>
      </c>
      <c r="K126" s="81">
        <f t="shared" si="30"/>
        <v>46</v>
      </c>
      <c r="L126" s="82">
        <f>'KW 46'!$L$33</f>
        <v>0</v>
      </c>
      <c r="Q126" s="79">
        <f t="shared" si="35"/>
        <v>44549</v>
      </c>
      <c r="R126" s="80">
        <f t="shared" si="31"/>
        <v>44549</v>
      </c>
      <c r="S126" s="81">
        <f t="shared" si="32"/>
        <v>50</v>
      </c>
      <c r="T126" s="82">
        <f>'KW 50'!$P$33</f>
        <v>0</v>
      </c>
    </row>
    <row r="127" spans="1:23" x14ac:dyDescent="0.25">
      <c r="A127" s="79">
        <f t="shared" si="33"/>
        <v>44489</v>
      </c>
      <c r="B127" s="80">
        <f t="shared" si="27"/>
        <v>44489</v>
      </c>
      <c r="C127" s="81">
        <f t="shared" si="28"/>
        <v>42</v>
      </c>
      <c r="D127" s="82">
        <f>'KW 42'!$H$33</f>
        <v>0</v>
      </c>
      <c r="I127" s="79">
        <f t="shared" si="34"/>
        <v>44520</v>
      </c>
      <c r="J127" s="80">
        <f t="shared" si="29"/>
        <v>44520</v>
      </c>
      <c r="K127" s="81">
        <f t="shared" si="30"/>
        <v>46</v>
      </c>
      <c r="L127" s="82">
        <f>'KW 46'!$N$33</f>
        <v>0</v>
      </c>
      <c r="Q127" s="79">
        <f t="shared" si="35"/>
        <v>44550</v>
      </c>
      <c r="R127" s="80">
        <f t="shared" si="31"/>
        <v>44550</v>
      </c>
      <c r="S127" s="81">
        <f t="shared" si="32"/>
        <v>51</v>
      </c>
      <c r="T127" s="82">
        <f>'KW 51'!$D$33</f>
        <v>0</v>
      </c>
    </row>
    <row r="128" spans="1:23" x14ac:dyDescent="0.25">
      <c r="A128" s="79">
        <f t="shared" si="33"/>
        <v>44490</v>
      </c>
      <c r="B128" s="80">
        <f t="shared" si="27"/>
        <v>44490</v>
      </c>
      <c r="C128" s="81">
        <f t="shared" si="28"/>
        <v>42</v>
      </c>
      <c r="D128" s="82">
        <f>'KW 42'!$J$33</f>
        <v>0</v>
      </c>
      <c r="I128" s="79">
        <f t="shared" si="34"/>
        <v>44521</v>
      </c>
      <c r="J128" s="80">
        <f t="shared" si="29"/>
        <v>44521</v>
      </c>
      <c r="K128" s="81">
        <f t="shared" si="30"/>
        <v>46</v>
      </c>
      <c r="L128" s="82">
        <f>'KW 46'!$P$33</f>
        <v>0</v>
      </c>
      <c r="Q128" s="79">
        <f t="shared" si="35"/>
        <v>44551</v>
      </c>
      <c r="R128" s="80">
        <f t="shared" si="31"/>
        <v>44551</v>
      </c>
      <c r="S128" s="81">
        <f t="shared" si="32"/>
        <v>51</v>
      </c>
      <c r="T128" s="82">
        <f>'KW 51'!$F$33</f>
        <v>0</v>
      </c>
    </row>
    <row r="129" spans="1:20" x14ac:dyDescent="0.25">
      <c r="A129" s="79">
        <f t="shared" si="33"/>
        <v>44491</v>
      </c>
      <c r="B129" s="80">
        <f t="shared" si="27"/>
        <v>44491</v>
      </c>
      <c r="C129" s="81">
        <f t="shared" si="28"/>
        <v>42</v>
      </c>
      <c r="D129" s="82">
        <f>'KW 42'!$L$33</f>
        <v>0</v>
      </c>
      <c r="I129" s="79">
        <f t="shared" si="34"/>
        <v>44522</v>
      </c>
      <c r="J129" s="80">
        <f t="shared" si="29"/>
        <v>44522</v>
      </c>
      <c r="K129" s="81">
        <f t="shared" si="30"/>
        <v>47</v>
      </c>
      <c r="L129" s="82">
        <f>'KW 47'!$D$33</f>
        <v>0</v>
      </c>
      <c r="Q129" s="79">
        <f t="shared" si="35"/>
        <v>44552</v>
      </c>
      <c r="R129" s="80">
        <f t="shared" si="31"/>
        <v>44552</v>
      </c>
      <c r="S129" s="81">
        <f t="shared" si="32"/>
        <v>51</v>
      </c>
      <c r="T129" s="82">
        <f>'KW 51'!$H$33</f>
        <v>0</v>
      </c>
    </row>
    <row r="130" spans="1:20" x14ac:dyDescent="0.25">
      <c r="A130" s="79">
        <f t="shared" si="33"/>
        <v>44492</v>
      </c>
      <c r="B130" s="80">
        <f t="shared" si="27"/>
        <v>44492</v>
      </c>
      <c r="C130" s="81">
        <f t="shared" si="28"/>
        <v>42</v>
      </c>
      <c r="D130" s="82">
        <f>'KW 42'!$N$33</f>
        <v>0</v>
      </c>
      <c r="I130" s="79">
        <f t="shared" si="34"/>
        <v>44523</v>
      </c>
      <c r="J130" s="80">
        <f t="shared" si="29"/>
        <v>44523</v>
      </c>
      <c r="K130" s="81">
        <f t="shared" si="30"/>
        <v>47</v>
      </c>
      <c r="L130" s="82">
        <f>'KW 47'!$F$33</f>
        <v>0</v>
      </c>
      <c r="Q130" s="79">
        <f t="shared" si="35"/>
        <v>44553</v>
      </c>
      <c r="R130" s="80">
        <f t="shared" si="31"/>
        <v>44553</v>
      </c>
      <c r="S130" s="81">
        <f t="shared" si="32"/>
        <v>51</v>
      </c>
      <c r="T130" s="82">
        <f>'KW 51'!$J$33</f>
        <v>0</v>
      </c>
    </row>
    <row r="131" spans="1:20" x14ac:dyDescent="0.25">
      <c r="A131" s="79">
        <f t="shared" si="33"/>
        <v>44493</v>
      </c>
      <c r="B131" s="80">
        <f t="shared" si="27"/>
        <v>44493</v>
      </c>
      <c r="C131" s="81">
        <f t="shared" si="28"/>
        <v>42</v>
      </c>
      <c r="D131" s="82">
        <f>'KW 42'!$P$33</f>
        <v>0</v>
      </c>
      <c r="I131" s="79">
        <f t="shared" si="34"/>
        <v>44524</v>
      </c>
      <c r="J131" s="80">
        <f t="shared" si="29"/>
        <v>44524</v>
      </c>
      <c r="K131" s="81">
        <f t="shared" si="30"/>
        <v>47</v>
      </c>
      <c r="L131" s="82">
        <f>'KW 47'!$H$33</f>
        <v>0</v>
      </c>
      <c r="Q131" s="79">
        <f t="shared" si="35"/>
        <v>44554</v>
      </c>
      <c r="R131" s="80">
        <f t="shared" si="31"/>
        <v>44554</v>
      </c>
      <c r="S131" s="81">
        <f t="shared" si="32"/>
        <v>51</v>
      </c>
      <c r="T131" s="82">
        <f>'KW 51'!$L$33</f>
        <v>0</v>
      </c>
    </row>
    <row r="132" spans="1:20" x14ac:dyDescent="0.25">
      <c r="A132" s="79">
        <f t="shared" si="33"/>
        <v>44494</v>
      </c>
      <c r="B132" s="80">
        <f t="shared" si="27"/>
        <v>44494</v>
      </c>
      <c r="C132" s="81">
        <f t="shared" si="28"/>
        <v>43</v>
      </c>
      <c r="D132" s="82">
        <f>'KW 43'!$D$33</f>
        <v>0</v>
      </c>
      <c r="I132" s="79">
        <f t="shared" si="34"/>
        <v>44525</v>
      </c>
      <c r="J132" s="80">
        <f t="shared" si="29"/>
        <v>44525</v>
      </c>
      <c r="K132" s="81">
        <f t="shared" si="30"/>
        <v>47</v>
      </c>
      <c r="L132" s="82">
        <f>'KW 47'!$J$33</f>
        <v>0</v>
      </c>
      <c r="Q132" s="79">
        <f t="shared" si="35"/>
        <v>44555</v>
      </c>
      <c r="R132" s="80">
        <f t="shared" si="31"/>
        <v>44555</v>
      </c>
      <c r="S132" s="81">
        <f t="shared" si="32"/>
        <v>51</v>
      </c>
      <c r="T132" s="82">
        <f>'KW 51'!$N$33</f>
        <v>0</v>
      </c>
    </row>
    <row r="133" spans="1:20" x14ac:dyDescent="0.25">
      <c r="A133" s="79">
        <f t="shared" si="33"/>
        <v>44495</v>
      </c>
      <c r="B133" s="80">
        <f t="shared" si="27"/>
        <v>44495</v>
      </c>
      <c r="C133" s="81">
        <f t="shared" si="28"/>
        <v>43</v>
      </c>
      <c r="D133" s="82">
        <f>'KW 43'!$F$33</f>
        <v>0</v>
      </c>
      <c r="I133" s="79">
        <f t="shared" si="34"/>
        <v>44526</v>
      </c>
      <c r="J133" s="80">
        <f t="shared" si="29"/>
        <v>44526</v>
      </c>
      <c r="K133" s="81">
        <f t="shared" si="30"/>
        <v>47</v>
      </c>
      <c r="L133" s="82">
        <f>'KW 47'!$L$33</f>
        <v>0</v>
      </c>
      <c r="Q133" s="79">
        <f t="shared" si="35"/>
        <v>44556</v>
      </c>
      <c r="R133" s="80">
        <f t="shared" si="31"/>
        <v>44556</v>
      </c>
      <c r="S133" s="81">
        <f t="shared" si="32"/>
        <v>51</v>
      </c>
      <c r="T133" s="82">
        <f>'KW 51'!$P$33</f>
        <v>0</v>
      </c>
    </row>
    <row r="134" spans="1:20" x14ac:dyDescent="0.25">
      <c r="A134" s="79">
        <f t="shared" si="33"/>
        <v>44496</v>
      </c>
      <c r="B134" s="80">
        <f t="shared" si="27"/>
        <v>44496</v>
      </c>
      <c r="C134" s="81">
        <f t="shared" si="28"/>
        <v>43</v>
      </c>
      <c r="D134" s="82">
        <f>'KW 43'!$H$33</f>
        <v>0</v>
      </c>
      <c r="I134" s="79">
        <f t="shared" si="34"/>
        <v>44527</v>
      </c>
      <c r="J134" s="80">
        <f t="shared" si="29"/>
        <v>44527</v>
      </c>
      <c r="K134" s="81">
        <f t="shared" si="30"/>
        <v>47</v>
      </c>
      <c r="L134" s="82">
        <f>'KW 47'!$N$33</f>
        <v>0</v>
      </c>
      <c r="Q134" s="79">
        <f t="shared" si="35"/>
        <v>44557</v>
      </c>
      <c r="R134" s="80">
        <f t="shared" si="31"/>
        <v>44557</v>
      </c>
      <c r="S134" s="81">
        <f t="shared" si="32"/>
        <v>52</v>
      </c>
      <c r="T134" s="82">
        <f>'KW 52'!$D$33</f>
        <v>0</v>
      </c>
    </row>
    <row r="135" spans="1:20" x14ac:dyDescent="0.25">
      <c r="A135" s="79">
        <f t="shared" si="33"/>
        <v>44497</v>
      </c>
      <c r="B135" s="80">
        <f t="shared" si="27"/>
        <v>44497</v>
      </c>
      <c r="C135" s="81">
        <f t="shared" si="28"/>
        <v>43</v>
      </c>
      <c r="D135" s="82">
        <f>'KW 43'!$J$33</f>
        <v>0</v>
      </c>
      <c r="I135" s="79">
        <f t="shared" si="34"/>
        <v>44528</v>
      </c>
      <c r="J135" s="80">
        <f t="shared" si="29"/>
        <v>44528</v>
      </c>
      <c r="K135" s="81">
        <f t="shared" si="30"/>
        <v>47</v>
      </c>
      <c r="L135" s="82">
        <f>'KW 47'!$P$33</f>
        <v>0</v>
      </c>
      <c r="Q135" s="79">
        <f t="shared" si="35"/>
        <v>44558</v>
      </c>
      <c r="R135" s="80">
        <f t="shared" si="31"/>
        <v>44558</v>
      </c>
      <c r="S135" s="81">
        <f t="shared" si="32"/>
        <v>52</v>
      </c>
      <c r="T135" s="82">
        <f>'KW 52'!$F$33</f>
        <v>0</v>
      </c>
    </row>
    <row r="136" spans="1:20" x14ac:dyDescent="0.25">
      <c r="A136" s="79">
        <f t="shared" si="33"/>
        <v>44498</v>
      </c>
      <c r="B136" s="80">
        <f t="shared" si="27"/>
        <v>44498</v>
      </c>
      <c r="C136" s="81">
        <f t="shared" si="28"/>
        <v>43</v>
      </c>
      <c r="D136" s="82">
        <f>'KW 43'!$L$33</f>
        <v>0</v>
      </c>
      <c r="I136" s="79">
        <f t="shared" si="34"/>
        <v>44529</v>
      </c>
      <c r="J136" s="80">
        <f t="shared" si="29"/>
        <v>44529</v>
      </c>
      <c r="K136" s="81">
        <f t="shared" si="30"/>
        <v>48</v>
      </c>
      <c r="L136" s="82">
        <f>IF(I136="","",'KW 48'!$D$33)</f>
        <v>0</v>
      </c>
      <c r="Q136" s="79">
        <f t="shared" si="35"/>
        <v>44559</v>
      </c>
      <c r="R136" s="80">
        <f t="shared" si="31"/>
        <v>44559</v>
      </c>
      <c r="S136" s="81">
        <f t="shared" si="32"/>
        <v>52</v>
      </c>
      <c r="T136" s="82">
        <f>'KW 52'!$H$33</f>
        <v>0</v>
      </c>
    </row>
    <row r="137" spans="1:20" x14ac:dyDescent="0.25">
      <c r="A137" s="79">
        <f t="shared" si="33"/>
        <v>44499</v>
      </c>
      <c r="B137" s="80">
        <f t="shared" si="27"/>
        <v>44499</v>
      </c>
      <c r="C137" s="81">
        <f t="shared" si="28"/>
        <v>43</v>
      </c>
      <c r="D137" s="82">
        <f>'KW 43'!$N$33</f>
        <v>0</v>
      </c>
      <c r="I137" s="79">
        <f t="shared" si="34"/>
        <v>44530</v>
      </c>
      <c r="J137" s="80">
        <f t="shared" si="29"/>
        <v>44530</v>
      </c>
      <c r="K137" s="81">
        <f t="shared" si="30"/>
        <v>48</v>
      </c>
      <c r="L137" s="82">
        <f>IF(I137="","",'KW 48'!$F$33)</f>
        <v>0</v>
      </c>
      <c r="Q137" s="79">
        <f t="shared" si="35"/>
        <v>44560</v>
      </c>
      <c r="R137" s="80">
        <f t="shared" si="31"/>
        <v>44560</v>
      </c>
      <c r="S137" s="81">
        <f t="shared" si="32"/>
        <v>52</v>
      </c>
      <c r="T137" s="82">
        <f>'KW 52'!$J$33</f>
        <v>0</v>
      </c>
    </row>
    <row r="138" spans="1:20" ht="15.75" thickBot="1" x14ac:dyDescent="0.3">
      <c r="A138" s="79">
        <f t="shared" si="33"/>
        <v>44500</v>
      </c>
      <c r="B138" s="85">
        <f t="shared" si="27"/>
        <v>44500</v>
      </c>
      <c r="C138" s="86">
        <f t="shared" si="28"/>
        <v>43</v>
      </c>
      <c r="D138" s="82">
        <f>'KW 43'!$P$33</f>
        <v>0</v>
      </c>
      <c r="I138" s="79" t="str">
        <f t="shared" si="34"/>
        <v/>
      </c>
      <c r="J138" s="85" t="str">
        <f t="shared" si="29"/>
        <v/>
      </c>
      <c r="K138" s="86" t="str">
        <f t="shared" si="30"/>
        <v/>
      </c>
      <c r="L138" s="87" t="str">
        <f>IF(I138="","",'KW 48'!$H$33)</f>
        <v/>
      </c>
      <c r="Q138" s="79">
        <f t="shared" si="35"/>
        <v>44561</v>
      </c>
      <c r="R138" s="85">
        <f t="shared" si="31"/>
        <v>44561</v>
      </c>
      <c r="S138" s="86">
        <f t="shared" si="32"/>
        <v>52</v>
      </c>
      <c r="T138" s="82">
        <f>'KW 52'!$L$33</f>
        <v>0</v>
      </c>
    </row>
    <row r="139" spans="1:20" ht="15.75" thickTop="1" x14ac:dyDescent="0.25">
      <c r="C139" s="1" t="s">
        <v>77</v>
      </c>
      <c r="D139" s="59">
        <f>SUM(D108:D138)</f>
        <v>0</v>
      </c>
      <c r="K139" s="1" t="s">
        <v>78</v>
      </c>
      <c r="L139" s="59">
        <f>SUM(L108:L138)</f>
        <v>0</v>
      </c>
      <c r="S139" s="1" t="s">
        <v>79</v>
      </c>
      <c r="T139" s="59">
        <f>SUM(T108:T138)</f>
        <v>0</v>
      </c>
    </row>
  </sheetData>
  <sheetProtection selectLockedCells="1"/>
  <conditionalFormatting sqref="A3:D33">
    <cfRule type="expression" dxfId="1173" priority="81">
      <formula>WEEKDAY($B3,2)&gt;5</formula>
    </cfRule>
  </conditionalFormatting>
  <conditionalFormatting sqref="I3:L33">
    <cfRule type="expression" dxfId="1172" priority="80">
      <formula>WEEKDAY($J3,2)&gt;5</formula>
    </cfRule>
  </conditionalFormatting>
  <conditionalFormatting sqref="A68:D68 A38:C67">
    <cfRule type="expression" dxfId="1171" priority="73">
      <formula>WEEKDAY($B38,2)&gt;5</formula>
    </cfRule>
  </conditionalFormatting>
  <conditionalFormatting sqref="I73:L103">
    <cfRule type="expression" dxfId="1170" priority="64">
      <formula>WEEKDAY($J73,2)&gt;5</formula>
    </cfRule>
  </conditionalFormatting>
  <conditionalFormatting sqref="A108:D138">
    <cfRule type="expression" dxfId="1169" priority="57">
      <formula>WEEKDAY($B108,2)&gt;5</formula>
    </cfRule>
  </conditionalFormatting>
  <conditionalFormatting sqref="I108:L138">
    <cfRule type="expression" dxfId="1168" priority="56">
      <formula>WEEKDAY($J108,2)&gt;5</formula>
    </cfRule>
  </conditionalFormatting>
  <conditionalFormatting sqref="Q3:T33">
    <cfRule type="expression" dxfId="1167" priority="49">
      <formula>WEEKDAY($R3,2)&gt;5</formula>
    </cfRule>
  </conditionalFormatting>
  <conditionalFormatting sqref="D38">
    <cfRule type="expression" dxfId="1166" priority="48">
      <formula>WEEKDAY($B38,2)&gt;5</formula>
    </cfRule>
  </conditionalFormatting>
  <conditionalFormatting sqref="D39">
    <cfRule type="expression" dxfId="1165" priority="47">
      <formula>WEEKDAY($B39,2)&gt;5</formula>
    </cfRule>
  </conditionalFormatting>
  <conditionalFormatting sqref="D40:D41">
    <cfRule type="expression" dxfId="1164" priority="46">
      <formula>WEEKDAY($B40,2)&gt;5</formula>
    </cfRule>
  </conditionalFormatting>
  <conditionalFormatting sqref="D42:D48">
    <cfRule type="expression" dxfId="1163" priority="45">
      <formula>WEEKDAY($B42,2)&gt;5</formula>
    </cfRule>
  </conditionalFormatting>
  <conditionalFormatting sqref="D49:D55">
    <cfRule type="expression" dxfId="1162" priority="44">
      <formula>WEEKDAY($B49,2)&gt;5</formula>
    </cfRule>
  </conditionalFormatting>
  <conditionalFormatting sqref="D56:D62">
    <cfRule type="expression" dxfId="1161" priority="43">
      <formula>WEEKDAY($B56,2)&gt;5</formula>
    </cfRule>
  </conditionalFormatting>
  <conditionalFormatting sqref="D63:D67">
    <cfRule type="expression" dxfId="1160" priority="42">
      <formula>WEEKDAY($B63,2)&gt;5</formula>
    </cfRule>
  </conditionalFormatting>
  <conditionalFormatting sqref="I38:L68">
    <cfRule type="expression" dxfId="1159" priority="35">
      <formula>WEEKDAY($J38,2)&gt;5</formula>
    </cfRule>
  </conditionalFormatting>
  <conditionalFormatting sqref="Q38:T68">
    <cfRule type="expression" dxfId="1158" priority="22">
      <formula>WEEKDAY($R38,2)&gt;5</formula>
    </cfRule>
  </conditionalFormatting>
  <conditionalFormatting sqref="A73:D103">
    <cfRule type="expression" dxfId="1157" priority="13">
      <formula>WEEKDAY($B73,2)&gt;5</formula>
    </cfRule>
  </conditionalFormatting>
  <conditionalFormatting sqref="Q73:T103">
    <cfRule type="expression" dxfId="1156" priority="7">
      <formula>WEEKDAY($R73,2)&gt;5</formula>
    </cfRule>
  </conditionalFormatting>
  <conditionalFormatting sqref="Q108:T138">
    <cfRule type="expression" dxfId="1155" priority="1">
      <formula>WEEKDAY($Q108,2)&gt;5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20"/>
  <dimension ref="A1:U37"/>
  <sheetViews>
    <sheetView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>Tag der Arbeit</v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78" t="s">
        <v>20</v>
      </c>
      <c r="B3" s="182" t="s">
        <v>21</v>
      </c>
      <c r="C3" s="91">
        <f>'KW 1'!$C$3+112</f>
        <v>44312</v>
      </c>
      <c r="D3" s="92">
        <f>C3</f>
        <v>44312</v>
      </c>
      <c r="E3" s="91">
        <f>C3+1</f>
        <v>44313</v>
      </c>
      <c r="F3" s="92">
        <f>E3</f>
        <v>44313</v>
      </c>
      <c r="G3" s="91">
        <f>C3+2</f>
        <v>44314</v>
      </c>
      <c r="H3" s="92">
        <f>G3</f>
        <v>44314</v>
      </c>
      <c r="I3" s="91">
        <f>C3+3</f>
        <v>44315</v>
      </c>
      <c r="J3" s="92">
        <f>I3</f>
        <v>44315</v>
      </c>
      <c r="K3" s="91">
        <f>C3+4</f>
        <v>44316</v>
      </c>
      <c r="L3" s="92">
        <f>K3</f>
        <v>44316</v>
      </c>
      <c r="M3" s="91">
        <f>C3+5</f>
        <v>44317</v>
      </c>
      <c r="N3" s="92">
        <f>M3</f>
        <v>44317</v>
      </c>
      <c r="O3" s="91">
        <f>C3+6</f>
        <v>44318</v>
      </c>
      <c r="P3" s="92">
        <f>O3</f>
        <v>44318</v>
      </c>
      <c r="Q3" s="14" t="s">
        <v>0</v>
      </c>
      <c r="R3" s="15" t="s">
        <v>0</v>
      </c>
      <c r="S3" s="178" t="s">
        <v>1</v>
      </c>
      <c r="T3" s="178" t="s">
        <v>2</v>
      </c>
      <c r="U3" s="176" t="s">
        <v>4</v>
      </c>
    </row>
    <row r="4" spans="1:21" ht="15.75" thickBot="1" x14ac:dyDescent="0.3">
      <c r="A4" s="179"/>
      <c r="B4" s="183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77"/>
    </row>
    <row r="5" spans="1:21" x14ac:dyDescent="0.25">
      <c r="A5" s="19" t="str">
        <f>Start!A5</f>
        <v>Postbearbeitung Bestand</v>
      </c>
      <c r="B5" s="134">
        <f>'KW 16'!S5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5">
        <f>'KW 16'!S6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6">
        <f>'KW 16'!S7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5">
        <f>'KW 16'!S9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5">
        <f>'KW 16'!S10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5">
        <f>'KW 16'!S11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5">
        <f>'KW 16'!S12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5">
        <f>'KW 16'!S14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5">
        <f>'KW 16'!S15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5">
        <f>'KW 16'!S17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39">
        <f>'KW 16'!S20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4">
        <f>'KW 16'!S22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5">
        <f>'KW 16'!S23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6">
        <f>'KW 16'!S24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4">
        <f>'KW 16'!S26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5">
        <f>'KW 16'!S27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6">
        <f>'KW 16'!S28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39">
        <f>'KW 16'!S30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4">
        <f>'KW 16'!S35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D30">
    <cfRule type="expression" dxfId="797" priority="19" stopIfTrue="1">
      <formula>AND(NOT(OR(ISBLANK($A5),$A5="Summe ")),$C$1="altes Jahr")</formula>
    </cfRule>
    <cfRule type="expression" dxfId="796" priority="21" stopIfTrue="1">
      <formula>AND(NOT(OR(ISBLANK($A5),$A5="Summe ")),WEEKDAY($C$3,2)&gt;5)</formula>
    </cfRule>
  </conditionalFormatting>
  <conditionalFormatting sqref="E5:F30">
    <cfRule type="expression" dxfId="795" priority="16" stopIfTrue="1">
      <formula>AND(NOT(OR(ISBLANK($A5),$A5="Summe ")),$E$1="altes Jahr")</formula>
    </cfRule>
    <cfRule type="expression" dxfId="794" priority="18" stopIfTrue="1">
      <formula>AND(NOT(OR(ISBLANK($A5),$A5="Summe ")),WEEKDAY($E$3,2)&gt;5)</formula>
    </cfRule>
  </conditionalFormatting>
  <conditionalFormatting sqref="G5:H30">
    <cfRule type="expression" dxfId="793" priority="13" stopIfTrue="1">
      <formula>AND(NOT(OR(ISBLANK($A5),$A5="Summe ")),$G$1="altes Jahr")</formula>
    </cfRule>
    <cfRule type="expression" dxfId="792" priority="15" stopIfTrue="1">
      <formula>AND(NOT(OR(ISBLANK($A5),$A5="Summe ")),WEEKDAY($G$3,2)&gt;5)</formula>
    </cfRule>
  </conditionalFormatting>
  <conditionalFormatting sqref="I5:J30">
    <cfRule type="expression" dxfId="791" priority="10" stopIfTrue="1">
      <formula>AND(NOT(OR(ISBLANK($A5),$A5="Summe ")),$I$1="altes Jahr")</formula>
    </cfRule>
    <cfRule type="expression" dxfId="790" priority="12" stopIfTrue="1">
      <formula>AND(NOT(OR(ISBLANK($A5),$A5="Summe ")),WEEKDAY($I$3,2)&gt;5)</formula>
    </cfRule>
  </conditionalFormatting>
  <conditionalFormatting sqref="K5:L30">
    <cfRule type="expression" dxfId="789" priority="7" stopIfTrue="1">
      <formula>AND(NOT(OR(ISBLANK($A5),$A5="Summe ")),$K$1="altes Jahr")</formula>
    </cfRule>
    <cfRule type="expression" dxfId="788" priority="9" stopIfTrue="1">
      <formula>AND(NOT(OR(ISBLANK($A5),$A5="Summe ")),WEEKDAY($K$3,2)&gt;5)</formula>
    </cfRule>
  </conditionalFormatting>
  <conditionalFormatting sqref="M5:N30">
    <cfRule type="expression" dxfId="787" priority="4" stopIfTrue="1">
      <formula>AND(NOT(OR(ISBLANK($A5),$A5="Summe ")),$M$1="altes Jahr")</formula>
    </cfRule>
    <cfRule type="expression" dxfId="786" priority="6" stopIfTrue="1">
      <formula>AND(NOT(OR(ISBLANK($A5),$A5="Summe ")),WEEKDAY($M$3,2)&gt;5)</formula>
    </cfRule>
  </conditionalFormatting>
  <conditionalFormatting sqref="O5:P30">
    <cfRule type="expression" dxfId="785" priority="1" stopIfTrue="1">
      <formula>AND(NOT(OR(ISBLANK($A5),$A5="Summe ")),$O$1="altes Jahr")</formula>
    </cfRule>
    <cfRule type="expression" dxfId="784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1F3045AD-3E7B-4DFD-92AD-4F69B3878150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A59F67C5-46D8-435A-983F-B3E914E6EF80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6B6CB124-C1E9-48DA-BEC2-F42E93C45126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60813CE2-5189-470E-9E5A-7F1513A3E74C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968CDC0F-1552-4825-94BE-538D8A55AE41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8BBB6FB0-FC89-4D5D-878A-CBF2A69EEF94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B8EDDD27-3501-4D3F-9323-194FA8369599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1"/>
  <dimension ref="A1:U37"/>
  <sheetViews>
    <sheetView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78" t="s">
        <v>20</v>
      </c>
      <c r="B3" s="182" t="s">
        <v>21</v>
      </c>
      <c r="C3" s="91">
        <f>'KW 1'!$C$3+119</f>
        <v>44319</v>
      </c>
      <c r="D3" s="92">
        <f>C3</f>
        <v>44319</v>
      </c>
      <c r="E3" s="91">
        <f>C3+1</f>
        <v>44320</v>
      </c>
      <c r="F3" s="92">
        <f>E3</f>
        <v>44320</v>
      </c>
      <c r="G3" s="91">
        <f>C3+2</f>
        <v>44321</v>
      </c>
      <c r="H3" s="92">
        <f>G3</f>
        <v>44321</v>
      </c>
      <c r="I3" s="91">
        <f>C3+3</f>
        <v>44322</v>
      </c>
      <c r="J3" s="92">
        <f>I3</f>
        <v>44322</v>
      </c>
      <c r="K3" s="91">
        <f>C3+4</f>
        <v>44323</v>
      </c>
      <c r="L3" s="92">
        <f>K3</f>
        <v>44323</v>
      </c>
      <c r="M3" s="91">
        <f>C3+5</f>
        <v>44324</v>
      </c>
      <c r="N3" s="92">
        <f>M3</f>
        <v>44324</v>
      </c>
      <c r="O3" s="91">
        <f>C3+6</f>
        <v>44325</v>
      </c>
      <c r="P3" s="92">
        <f>O3</f>
        <v>44325</v>
      </c>
      <c r="Q3" s="14" t="s">
        <v>0</v>
      </c>
      <c r="R3" s="15" t="s">
        <v>0</v>
      </c>
      <c r="S3" s="178" t="s">
        <v>1</v>
      </c>
      <c r="T3" s="178" t="s">
        <v>2</v>
      </c>
      <c r="U3" s="176" t="s">
        <v>4</v>
      </c>
    </row>
    <row r="4" spans="1:21" ht="15.75" thickBot="1" x14ac:dyDescent="0.3">
      <c r="A4" s="179"/>
      <c r="B4" s="183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77"/>
    </row>
    <row r="5" spans="1:21" x14ac:dyDescent="0.25">
      <c r="A5" s="19" t="str">
        <f>Start!A5</f>
        <v>Postbearbeitung Bestand</v>
      </c>
      <c r="B5" s="134">
        <f>'KW 17'!S5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5">
        <f>'KW 17'!S6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6">
        <f>'KW 17'!S7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5">
        <f>'KW 17'!S9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5">
        <f>'KW 17'!S10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5">
        <f>'KW 17'!S11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5">
        <f>'KW 17'!S12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5">
        <f>'KW 17'!S14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5">
        <f>'KW 17'!S15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5">
        <f>'KW 17'!S17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39">
        <f>'KW 17'!S20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4">
        <f>'KW 17'!S22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5">
        <f>'KW 17'!S23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6">
        <f>'KW 17'!S24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4">
        <f>'KW 17'!S26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5">
        <f>'KW 17'!S27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6">
        <f>'KW 17'!S28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39">
        <f>'KW 17'!S30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4">
        <f>'KW 17'!S35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D30">
    <cfRule type="expression" dxfId="776" priority="19" stopIfTrue="1">
      <formula>AND(NOT(OR(ISBLANK($A5),$A5="Summe ")),$C$1="altes Jahr")</formula>
    </cfRule>
    <cfRule type="expression" dxfId="775" priority="21" stopIfTrue="1">
      <formula>AND(NOT(OR(ISBLANK($A5),$A5="Summe ")),WEEKDAY($C$3,2)&gt;5)</formula>
    </cfRule>
  </conditionalFormatting>
  <conditionalFormatting sqref="E5:F30">
    <cfRule type="expression" dxfId="774" priority="16" stopIfTrue="1">
      <formula>AND(NOT(OR(ISBLANK($A5),$A5="Summe ")),$E$1="altes Jahr")</formula>
    </cfRule>
    <cfRule type="expression" dxfId="773" priority="18" stopIfTrue="1">
      <formula>AND(NOT(OR(ISBLANK($A5),$A5="Summe ")),WEEKDAY($E$3,2)&gt;5)</formula>
    </cfRule>
  </conditionalFormatting>
  <conditionalFormatting sqref="G5:H30">
    <cfRule type="expression" dxfId="772" priority="13" stopIfTrue="1">
      <formula>AND(NOT(OR(ISBLANK($A5),$A5="Summe ")),$G$1="altes Jahr")</formula>
    </cfRule>
    <cfRule type="expression" dxfId="771" priority="15" stopIfTrue="1">
      <formula>AND(NOT(OR(ISBLANK($A5),$A5="Summe ")),WEEKDAY($G$3,2)&gt;5)</formula>
    </cfRule>
  </conditionalFormatting>
  <conditionalFormatting sqref="I5:J30">
    <cfRule type="expression" dxfId="770" priority="10" stopIfTrue="1">
      <formula>AND(NOT(OR(ISBLANK($A5),$A5="Summe ")),$I$1="altes Jahr")</formula>
    </cfRule>
    <cfRule type="expression" dxfId="769" priority="12" stopIfTrue="1">
      <formula>AND(NOT(OR(ISBLANK($A5),$A5="Summe ")),WEEKDAY($I$3,2)&gt;5)</formula>
    </cfRule>
  </conditionalFormatting>
  <conditionalFormatting sqref="K5:L30">
    <cfRule type="expression" dxfId="768" priority="7" stopIfTrue="1">
      <formula>AND(NOT(OR(ISBLANK($A5),$A5="Summe ")),$K$1="altes Jahr")</formula>
    </cfRule>
    <cfRule type="expression" dxfId="767" priority="9" stopIfTrue="1">
      <formula>AND(NOT(OR(ISBLANK($A5),$A5="Summe ")),WEEKDAY($K$3,2)&gt;5)</formula>
    </cfRule>
  </conditionalFormatting>
  <conditionalFormatting sqref="M5:N30">
    <cfRule type="expression" dxfId="766" priority="4" stopIfTrue="1">
      <formula>AND(NOT(OR(ISBLANK($A5),$A5="Summe ")),$M$1="altes Jahr")</formula>
    </cfRule>
    <cfRule type="expression" dxfId="765" priority="6" stopIfTrue="1">
      <formula>AND(NOT(OR(ISBLANK($A5),$A5="Summe ")),WEEKDAY($M$3,2)&gt;5)</formula>
    </cfRule>
  </conditionalFormatting>
  <conditionalFormatting sqref="O5:P30">
    <cfRule type="expression" dxfId="764" priority="1" stopIfTrue="1">
      <formula>AND(NOT(OR(ISBLANK($A5),$A5="Summe ")),$O$1="altes Jahr")</formula>
    </cfRule>
    <cfRule type="expression" dxfId="763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FC8A2B2D-C4BF-4DD1-877C-D70DA27548C0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D5AA8897-71B2-4231-A730-A44137D23CF6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7A8911AF-8401-4D99-BBED-60D1CA4D43AB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2EB10221-C990-4AAA-AF4E-21B1B3518F84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F5D2F192-44D8-4A07-9C9D-37009749A9C7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959A0FB3-CB41-4843-95C1-456B18388920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64174B52-74DC-47C0-8BA4-CA53639D45F3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22"/>
  <dimension ref="A1:U37"/>
  <sheetViews>
    <sheetView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>Christi Himmelfahrt</v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78" t="s">
        <v>20</v>
      </c>
      <c r="B3" s="182" t="s">
        <v>21</v>
      </c>
      <c r="C3" s="91">
        <f>'KW 1'!$C$3+126</f>
        <v>44326</v>
      </c>
      <c r="D3" s="92">
        <f>C3</f>
        <v>44326</v>
      </c>
      <c r="E3" s="91">
        <f>C3+1</f>
        <v>44327</v>
      </c>
      <c r="F3" s="92">
        <f>E3</f>
        <v>44327</v>
      </c>
      <c r="G3" s="91">
        <f>C3+2</f>
        <v>44328</v>
      </c>
      <c r="H3" s="92">
        <f>G3</f>
        <v>44328</v>
      </c>
      <c r="I3" s="91">
        <f>C3+3</f>
        <v>44329</v>
      </c>
      <c r="J3" s="92">
        <f>I3</f>
        <v>44329</v>
      </c>
      <c r="K3" s="91">
        <f>C3+4</f>
        <v>44330</v>
      </c>
      <c r="L3" s="92">
        <f>K3</f>
        <v>44330</v>
      </c>
      <c r="M3" s="91">
        <f>C3+5</f>
        <v>44331</v>
      </c>
      <c r="N3" s="92">
        <f>M3</f>
        <v>44331</v>
      </c>
      <c r="O3" s="91">
        <f>C3+6</f>
        <v>44332</v>
      </c>
      <c r="P3" s="92">
        <f>O3</f>
        <v>44332</v>
      </c>
      <c r="Q3" s="14" t="s">
        <v>0</v>
      </c>
      <c r="R3" s="15" t="s">
        <v>0</v>
      </c>
      <c r="S3" s="178" t="s">
        <v>1</v>
      </c>
      <c r="T3" s="178" t="s">
        <v>2</v>
      </c>
      <c r="U3" s="176" t="s">
        <v>4</v>
      </c>
    </row>
    <row r="4" spans="1:21" ht="15.75" thickBot="1" x14ac:dyDescent="0.3">
      <c r="A4" s="179"/>
      <c r="B4" s="183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77"/>
    </row>
    <row r="5" spans="1:21" x14ac:dyDescent="0.25">
      <c r="A5" s="19" t="str">
        <f>Start!A5</f>
        <v>Postbearbeitung Bestand</v>
      </c>
      <c r="B5" s="134">
        <f>'KW 18'!S5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5">
        <f>'KW 18'!S6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6">
        <f>'KW 18'!S7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5">
        <f>'KW 18'!S9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5">
        <f>'KW 18'!S10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5">
        <f>'KW 18'!S11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5">
        <f>'KW 18'!S12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5">
        <f>'KW 18'!S14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5">
        <f>'KW 18'!S15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38"/>
      <c r="C16" s="35"/>
      <c r="D16" s="35"/>
      <c r="E16" s="35"/>
      <c r="F16" s="35"/>
      <c r="G16" s="35"/>
      <c r="H16" s="127"/>
      <c r="I16" s="127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5">
        <f>'KW 18'!S17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1"/>
      <c r="C19" s="50"/>
      <c r="D19" s="50"/>
      <c r="E19" s="50"/>
      <c r="F19" s="50"/>
      <c r="G19" s="50"/>
      <c r="H19" s="128"/>
      <c r="I19" s="128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39">
        <f>'KW 18'!S20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4">
        <f>'KW 18'!S22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5">
        <f>'KW 18'!S23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6">
        <f>'KW 18'!S24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4">
        <f>'KW 18'!S26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5">
        <f>'KW 18'!S27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6">
        <f>'KW 18'!S28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39">
        <f>'KW 18'!S30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H32" s="129"/>
      <c r="I32" s="129"/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4">
        <f>'KW 18'!S35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D30">
    <cfRule type="expression" dxfId="755" priority="19" stopIfTrue="1">
      <formula>AND(NOT(OR(ISBLANK($A5),$A5="Summe ")),$C$1="altes Jahr")</formula>
    </cfRule>
    <cfRule type="expression" dxfId="754" priority="21" stopIfTrue="1">
      <formula>AND(NOT(OR(ISBLANK($A5),$A5="Summe ")),WEEKDAY($C$3,2)&gt;5)</formula>
    </cfRule>
  </conditionalFormatting>
  <conditionalFormatting sqref="E5:F30">
    <cfRule type="expression" dxfId="753" priority="16" stopIfTrue="1">
      <formula>AND(NOT(OR(ISBLANK($A5),$A5="Summe ")),$E$1="altes Jahr")</formula>
    </cfRule>
    <cfRule type="expression" dxfId="752" priority="18" stopIfTrue="1">
      <formula>AND(NOT(OR(ISBLANK($A5),$A5="Summe ")),WEEKDAY($E$3,2)&gt;5)</formula>
    </cfRule>
  </conditionalFormatting>
  <conditionalFormatting sqref="G5:H30">
    <cfRule type="expression" dxfId="751" priority="13" stopIfTrue="1">
      <formula>AND(NOT(OR(ISBLANK($A5),$A5="Summe ")),$G$1="altes Jahr")</formula>
    </cfRule>
    <cfRule type="expression" dxfId="750" priority="15" stopIfTrue="1">
      <formula>AND(NOT(OR(ISBLANK($A5),$A5="Summe ")),WEEKDAY($G$3,2)&gt;5)</formula>
    </cfRule>
  </conditionalFormatting>
  <conditionalFormatting sqref="I5:J30">
    <cfRule type="expression" dxfId="749" priority="10" stopIfTrue="1">
      <formula>AND(NOT(OR(ISBLANK($A5),$A5="Summe ")),$I$1="altes Jahr")</formula>
    </cfRule>
    <cfRule type="expression" dxfId="748" priority="12" stopIfTrue="1">
      <formula>AND(NOT(OR(ISBLANK($A5),$A5="Summe ")),WEEKDAY($I$3,2)&gt;5)</formula>
    </cfRule>
  </conditionalFormatting>
  <conditionalFormatting sqref="K5:L30">
    <cfRule type="expression" dxfId="747" priority="7" stopIfTrue="1">
      <formula>AND(NOT(OR(ISBLANK($A5),$A5="Summe ")),$K$1="altes Jahr")</formula>
    </cfRule>
    <cfRule type="expression" dxfId="746" priority="9" stopIfTrue="1">
      <formula>AND(NOT(OR(ISBLANK($A5),$A5="Summe ")),WEEKDAY($K$3,2)&gt;5)</formula>
    </cfRule>
  </conditionalFormatting>
  <conditionalFormatting sqref="M5:N30">
    <cfRule type="expression" dxfId="745" priority="4" stopIfTrue="1">
      <formula>AND(NOT(OR(ISBLANK($A5),$A5="Summe ")),$M$1="altes Jahr")</formula>
    </cfRule>
    <cfRule type="expression" dxfId="744" priority="6" stopIfTrue="1">
      <formula>AND(NOT(OR(ISBLANK($A5),$A5="Summe ")),WEEKDAY($M$3,2)&gt;5)</formula>
    </cfRule>
  </conditionalFormatting>
  <conditionalFormatting sqref="O5:P30">
    <cfRule type="expression" dxfId="743" priority="1" stopIfTrue="1">
      <formula>AND(NOT(OR(ISBLANK($A5),$A5="Summe ")),$O$1="altes Jahr")</formula>
    </cfRule>
    <cfRule type="expression" dxfId="742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5A45EF67-40EA-481E-A75F-1590D77661EA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0A292B5D-E2FD-436A-BBFE-39787EE6F0A1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3BBC3BA2-5164-4571-B845-FF3678895717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976609DD-D830-4FC4-9D5F-FE44C3B1035C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7FB2A0A1-EF53-42AA-93D3-07D7D4D8A6C9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95DE6CEB-EC59-4A7F-9E96-7D80D98C4E0F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9F79C08D-100A-4ECB-86B0-5C9E40EF9296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3"/>
  <dimension ref="A1:U37"/>
  <sheetViews>
    <sheetView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>Pfingstsonntag</v>
      </c>
    </row>
    <row r="3" spans="1:21" ht="15.75" thickBot="1" x14ac:dyDescent="0.3">
      <c r="A3" s="178" t="s">
        <v>20</v>
      </c>
      <c r="B3" s="182" t="s">
        <v>21</v>
      </c>
      <c r="C3" s="91">
        <f>'KW 1'!$C$3+133</f>
        <v>44333</v>
      </c>
      <c r="D3" s="92">
        <f>C3</f>
        <v>44333</v>
      </c>
      <c r="E3" s="91">
        <f>C3+1</f>
        <v>44334</v>
      </c>
      <c r="F3" s="92">
        <f>E3</f>
        <v>44334</v>
      </c>
      <c r="G3" s="91">
        <f>C3+2</f>
        <v>44335</v>
      </c>
      <c r="H3" s="92">
        <f>G3</f>
        <v>44335</v>
      </c>
      <c r="I3" s="91">
        <f>C3+3</f>
        <v>44336</v>
      </c>
      <c r="J3" s="92">
        <f>I3</f>
        <v>44336</v>
      </c>
      <c r="K3" s="91">
        <f>C3+4</f>
        <v>44337</v>
      </c>
      <c r="L3" s="92">
        <f>K3</f>
        <v>44337</v>
      </c>
      <c r="M3" s="91">
        <f>C3+5</f>
        <v>44338</v>
      </c>
      <c r="N3" s="92">
        <f>M3</f>
        <v>44338</v>
      </c>
      <c r="O3" s="91">
        <f>C3+6</f>
        <v>44339</v>
      </c>
      <c r="P3" s="92">
        <f>O3</f>
        <v>44339</v>
      </c>
      <c r="Q3" s="14" t="s">
        <v>0</v>
      </c>
      <c r="R3" s="15" t="s">
        <v>0</v>
      </c>
      <c r="S3" s="178" t="s">
        <v>1</v>
      </c>
      <c r="T3" s="178" t="s">
        <v>2</v>
      </c>
      <c r="U3" s="176" t="s">
        <v>4</v>
      </c>
    </row>
    <row r="4" spans="1:21" ht="15.75" thickBot="1" x14ac:dyDescent="0.3">
      <c r="A4" s="179"/>
      <c r="B4" s="183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77"/>
    </row>
    <row r="5" spans="1:21" x14ac:dyDescent="0.25">
      <c r="A5" s="19" t="str">
        <f>Start!A5</f>
        <v>Postbearbeitung Bestand</v>
      </c>
      <c r="B5" s="134">
        <f>'KW 19'!S5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5">
        <f>'KW 19'!S6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6">
        <f>'KW 19'!S7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5">
        <f>'KW 19'!S9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5">
        <f>'KW 19'!S10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5">
        <f>'KW 19'!S11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5">
        <f>'KW 19'!S12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5">
        <f>'KW 19'!S14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5">
        <f>'KW 19'!S15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5">
        <f>'KW 19'!S17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39">
        <f>'KW 19'!S20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4">
        <f>'KW 19'!S22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5">
        <f>'KW 19'!S23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6">
        <f>'KW 19'!S24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4">
        <f>'KW 19'!S26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5">
        <f>'KW 19'!S27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6">
        <f>'KW 19'!S28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39">
        <f>'KW 19'!S30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4">
        <f>'KW 19'!S35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D30">
    <cfRule type="expression" dxfId="734" priority="19" stopIfTrue="1">
      <formula>AND(NOT(OR(ISBLANK($A5),$A5="Summe ")),$C$1="altes Jahr")</formula>
    </cfRule>
    <cfRule type="expression" dxfId="733" priority="21" stopIfTrue="1">
      <formula>AND(NOT(OR(ISBLANK($A5),$A5="Summe ")),WEEKDAY($C$3,2)&gt;5)</formula>
    </cfRule>
  </conditionalFormatting>
  <conditionalFormatting sqref="E5:F30">
    <cfRule type="expression" dxfId="732" priority="16" stopIfTrue="1">
      <formula>AND(NOT(OR(ISBLANK($A5),$A5="Summe ")),$E$1="altes Jahr")</formula>
    </cfRule>
    <cfRule type="expression" dxfId="731" priority="18" stopIfTrue="1">
      <formula>AND(NOT(OR(ISBLANK($A5),$A5="Summe ")),WEEKDAY($E$3,2)&gt;5)</formula>
    </cfRule>
  </conditionalFormatting>
  <conditionalFormatting sqref="G5:H30">
    <cfRule type="expression" dxfId="730" priority="13" stopIfTrue="1">
      <formula>AND(NOT(OR(ISBLANK($A5),$A5="Summe ")),$G$1="altes Jahr")</formula>
    </cfRule>
    <cfRule type="expression" dxfId="729" priority="15" stopIfTrue="1">
      <formula>AND(NOT(OR(ISBLANK($A5),$A5="Summe ")),WEEKDAY($G$3,2)&gt;5)</formula>
    </cfRule>
  </conditionalFormatting>
  <conditionalFormatting sqref="I5:J30">
    <cfRule type="expression" dxfId="728" priority="10" stopIfTrue="1">
      <formula>AND(NOT(OR(ISBLANK($A5),$A5="Summe ")),$I$1="altes Jahr")</formula>
    </cfRule>
    <cfRule type="expression" dxfId="727" priority="12" stopIfTrue="1">
      <formula>AND(NOT(OR(ISBLANK($A5),$A5="Summe ")),WEEKDAY($I$3,2)&gt;5)</formula>
    </cfRule>
  </conditionalFormatting>
  <conditionalFormatting sqref="K5:L30">
    <cfRule type="expression" dxfId="726" priority="7" stopIfTrue="1">
      <formula>AND(NOT(OR(ISBLANK($A5),$A5="Summe ")),$K$1="altes Jahr")</formula>
    </cfRule>
    <cfRule type="expression" dxfId="725" priority="9" stopIfTrue="1">
      <formula>AND(NOT(OR(ISBLANK($A5),$A5="Summe ")),WEEKDAY($K$3,2)&gt;5)</formula>
    </cfRule>
  </conditionalFormatting>
  <conditionalFormatting sqref="M5:N30">
    <cfRule type="expression" dxfId="724" priority="4" stopIfTrue="1">
      <formula>AND(NOT(OR(ISBLANK($A5),$A5="Summe ")),$M$1="altes Jahr")</formula>
    </cfRule>
    <cfRule type="expression" dxfId="723" priority="6" stopIfTrue="1">
      <formula>AND(NOT(OR(ISBLANK($A5),$A5="Summe ")),WEEKDAY($M$3,2)&gt;5)</formula>
    </cfRule>
  </conditionalFormatting>
  <conditionalFormatting sqref="O5:P30">
    <cfRule type="expression" dxfId="722" priority="1" stopIfTrue="1">
      <formula>AND(NOT(OR(ISBLANK($A5),$A5="Summe ")),$O$1="altes Jahr")</formula>
    </cfRule>
    <cfRule type="expression" dxfId="721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224EA308-3FAF-4F21-9026-B68725B3ACB5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4517CC4A-73AA-4FF3-BE46-682039980400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283439F2-219D-4164-B729-7E98D4D5774C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3E80A9CB-EB0A-486C-A27B-74DD07A03CC7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4A2C157B-0AEB-47B1-ACB3-E6434D85B445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72067563-6C19-421E-8318-1A855D4E60C3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BE6933A6-1ECF-4703-ABA9-77CD7CED17A7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24"/>
  <dimension ref="A1:U37"/>
  <sheetViews>
    <sheetView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C2" s="122">
        <f>YEAR(C3)</f>
        <v>2021</v>
      </c>
      <c r="D2" s="119" t="str">
        <f>IFERROR(VLOOKUP(C3,Start!$F$2:$G$22,2,0),"")</f>
        <v>Pfingstmontag</v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78" t="s">
        <v>20</v>
      </c>
      <c r="B3" s="182" t="s">
        <v>21</v>
      </c>
      <c r="C3" s="91">
        <f>'KW 1'!$C$3+140</f>
        <v>44340</v>
      </c>
      <c r="D3" s="92">
        <f>C3</f>
        <v>44340</v>
      </c>
      <c r="E3" s="91">
        <f>C3+1</f>
        <v>44341</v>
      </c>
      <c r="F3" s="92">
        <f>E3</f>
        <v>44341</v>
      </c>
      <c r="G3" s="91">
        <f>C3+2</f>
        <v>44342</v>
      </c>
      <c r="H3" s="92">
        <f>G3</f>
        <v>44342</v>
      </c>
      <c r="I3" s="91">
        <f>C3+3</f>
        <v>44343</v>
      </c>
      <c r="J3" s="92">
        <f>I3</f>
        <v>44343</v>
      </c>
      <c r="K3" s="91">
        <f>C3+4</f>
        <v>44344</v>
      </c>
      <c r="L3" s="92">
        <f>K3</f>
        <v>44344</v>
      </c>
      <c r="M3" s="91">
        <f>C3+5</f>
        <v>44345</v>
      </c>
      <c r="N3" s="92">
        <f>M3</f>
        <v>44345</v>
      </c>
      <c r="O3" s="91">
        <f>C3+6</f>
        <v>44346</v>
      </c>
      <c r="P3" s="92">
        <f>O3</f>
        <v>44346</v>
      </c>
      <c r="Q3" s="14" t="s">
        <v>0</v>
      </c>
      <c r="R3" s="15" t="s">
        <v>0</v>
      </c>
      <c r="S3" s="178" t="s">
        <v>1</v>
      </c>
      <c r="T3" s="178" t="s">
        <v>2</v>
      </c>
      <c r="U3" s="176" t="s">
        <v>4</v>
      </c>
    </row>
    <row r="4" spans="1:21" ht="15.75" thickBot="1" x14ac:dyDescent="0.3">
      <c r="A4" s="179"/>
      <c r="B4" s="183"/>
      <c r="C4" s="17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77"/>
    </row>
    <row r="5" spans="1:21" x14ac:dyDescent="0.25">
      <c r="A5" s="19" t="str">
        <f>Start!A5</f>
        <v>Postbearbeitung Bestand</v>
      </c>
      <c r="B5" s="134">
        <f>'KW 20'!S5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5">
        <f>'KW 20'!S6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6">
        <f>'KW 20'!S7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5">
        <f>'KW 20'!S9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5">
        <f>'KW 20'!S10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5">
        <f>'KW 20'!S11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5">
        <f>'KW 20'!S12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38"/>
      <c r="C13" s="38"/>
      <c r="D13" s="3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5">
        <f>'KW 20'!S14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5">
        <f>'KW 20'!S15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38"/>
      <c r="C16" s="127"/>
      <c r="D16" s="127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5">
        <f>'KW 20'!S17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1"/>
      <c r="C19" s="128"/>
      <c r="D19" s="128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39">
        <f>'KW 20'!S20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4">
        <f>'KW 20'!S22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5">
        <f>'KW 20'!S23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6">
        <f>'KW 20'!S24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4">
        <f>'KW 20'!S26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5">
        <f>'KW 20'!S27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6">
        <f>'KW 20'!S28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39">
        <f>'KW 20'!S30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C32" s="129"/>
      <c r="D32" s="129"/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4">
        <f>'KW 20'!S35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D30">
    <cfRule type="expression" dxfId="713" priority="19" stopIfTrue="1">
      <formula>AND(NOT(OR(ISBLANK($A5),$A5="Summe ")),$C$1="altes Jahr")</formula>
    </cfRule>
    <cfRule type="expression" dxfId="712" priority="21" stopIfTrue="1">
      <formula>AND(NOT(OR(ISBLANK($A5),$A5="Summe ")),WEEKDAY($C$3,2)&gt;5)</formula>
    </cfRule>
  </conditionalFormatting>
  <conditionalFormatting sqref="E5:F30">
    <cfRule type="expression" dxfId="711" priority="16" stopIfTrue="1">
      <formula>AND(NOT(OR(ISBLANK($A5),$A5="Summe ")),$E$1="altes Jahr")</formula>
    </cfRule>
    <cfRule type="expression" dxfId="710" priority="18" stopIfTrue="1">
      <formula>AND(NOT(OR(ISBLANK($A5),$A5="Summe ")),WEEKDAY($E$3,2)&gt;5)</formula>
    </cfRule>
  </conditionalFormatting>
  <conditionalFormatting sqref="G5:H30">
    <cfRule type="expression" dxfId="709" priority="13" stopIfTrue="1">
      <formula>AND(NOT(OR(ISBLANK($A5),$A5="Summe ")),$G$1="altes Jahr")</formula>
    </cfRule>
    <cfRule type="expression" dxfId="708" priority="15" stopIfTrue="1">
      <formula>AND(NOT(OR(ISBLANK($A5),$A5="Summe ")),WEEKDAY($G$3,2)&gt;5)</formula>
    </cfRule>
  </conditionalFormatting>
  <conditionalFormatting sqref="I5:J30">
    <cfRule type="expression" dxfId="707" priority="10" stopIfTrue="1">
      <formula>AND(NOT(OR(ISBLANK($A5),$A5="Summe ")),$I$1="altes Jahr")</formula>
    </cfRule>
    <cfRule type="expression" dxfId="706" priority="12" stopIfTrue="1">
      <formula>AND(NOT(OR(ISBLANK($A5),$A5="Summe ")),WEEKDAY($I$3,2)&gt;5)</formula>
    </cfRule>
  </conditionalFormatting>
  <conditionalFormatting sqref="K5:L30">
    <cfRule type="expression" dxfId="705" priority="7" stopIfTrue="1">
      <formula>AND(NOT(OR(ISBLANK($A5),$A5="Summe ")),$K$1="altes Jahr")</formula>
    </cfRule>
    <cfRule type="expression" dxfId="704" priority="9" stopIfTrue="1">
      <formula>AND(NOT(OR(ISBLANK($A5),$A5="Summe ")),WEEKDAY($K$3,2)&gt;5)</formula>
    </cfRule>
  </conditionalFormatting>
  <conditionalFormatting sqref="M5:N30">
    <cfRule type="expression" dxfId="703" priority="4" stopIfTrue="1">
      <formula>AND(NOT(OR(ISBLANK($A5),$A5="Summe ")),$M$1="altes Jahr")</formula>
    </cfRule>
    <cfRule type="expression" dxfId="702" priority="6" stopIfTrue="1">
      <formula>AND(NOT(OR(ISBLANK($A5),$A5="Summe ")),WEEKDAY($M$3,2)&gt;5)</formula>
    </cfRule>
  </conditionalFormatting>
  <conditionalFormatting sqref="O5:P30">
    <cfRule type="expression" dxfId="701" priority="1" stopIfTrue="1">
      <formula>AND(NOT(OR(ISBLANK($A5),$A5="Summe ")),$O$1="altes Jahr")</formula>
    </cfRule>
    <cfRule type="expression" dxfId="700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F4AE970A-F5D1-4776-A20B-284943BC0C80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E9C1B712-CBE2-4A05-B753-FC8DDB903ADB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D0257632-BBB2-4932-A023-65246E2BDC4C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74D3FC20-75CD-4F67-B4EF-99C16DC8D433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560550F7-B513-4562-A58E-B64A0934B11E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9131AF3F-C5BE-4C63-8EDA-4B60274BF4A6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D7540962-3F3A-4778-B992-9F28EFD31C9C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25"/>
  <dimension ref="A1:U37"/>
  <sheetViews>
    <sheetView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>Fronleichnam</v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78" t="s">
        <v>20</v>
      </c>
      <c r="B3" s="182" t="s">
        <v>21</v>
      </c>
      <c r="C3" s="91">
        <f>'KW 1'!$C$3+147</f>
        <v>44347</v>
      </c>
      <c r="D3" s="92">
        <f>C3</f>
        <v>44347</v>
      </c>
      <c r="E3" s="91">
        <f>C3+1</f>
        <v>44348</v>
      </c>
      <c r="F3" s="92">
        <f>E3</f>
        <v>44348</v>
      </c>
      <c r="G3" s="91">
        <f>C3+2</f>
        <v>44349</v>
      </c>
      <c r="H3" s="92">
        <f>G3</f>
        <v>44349</v>
      </c>
      <c r="I3" s="92">
        <f>C3+3</f>
        <v>44350</v>
      </c>
      <c r="J3" s="92">
        <f>I3</f>
        <v>44350</v>
      </c>
      <c r="K3" s="91">
        <f>C3+4</f>
        <v>44351</v>
      </c>
      <c r="L3" s="92">
        <f>K3</f>
        <v>44351</v>
      </c>
      <c r="M3" s="91">
        <f>C3+5</f>
        <v>44352</v>
      </c>
      <c r="N3" s="92">
        <f>M3</f>
        <v>44352</v>
      </c>
      <c r="O3" s="91">
        <f>C3+6</f>
        <v>44353</v>
      </c>
      <c r="P3" s="92">
        <f>O3</f>
        <v>44353</v>
      </c>
      <c r="Q3" s="14" t="s">
        <v>0</v>
      </c>
      <c r="R3" s="15" t="s">
        <v>0</v>
      </c>
      <c r="S3" s="178" t="s">
        <v>1</v>
      </c>
      <c r="T3" s="178" t="s">
        <v>2</v>
      </c>
      <c r="U3" s="176" t="s">
        <v>4</v>
      </c>
    </row>
    <row r="4" spans="1:21" ht="15.75" thickBot="1" x14ac:dyDescent="0.3">
      <c r="A4" s="179"/>
      <c r="B4" s="183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77"/>
    </row>
    <row r="5" spans="1:21" x14ac:dyDescent="0.25">
      <c r="A5" s="19" t="str">
        <f>Start!A5</f>
        <v>Postbearbeitung Bestand</v>
      </c>
      <c r="B5" s="134">
        <f>'KW 21'!S5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5">
        <f>'KW 21'!S6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6">
        <f>'KW 21'!S7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5">
        <f>'KW 21'!S9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5">
        <f>'KW 21'!S10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5">
        <f>'KW 21'!S11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5">
        <f>'KW 21'!S12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5">
        <f>'KW 21'!S14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5">
        <f>'KW 21'!S15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127"/>
      <c r="J16" s="127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5">
        <f>'KW 21'!S17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1"/>
      <c r="C19" s="50"/>
      <c r="D19" s="50"/>
      <c r="E19" s="50"/>
      <c r="F19" s="50"/>
      <c r="G19" s="50"/>
      <c r="H19" s="50"/>
      <c r="I19" s="128"/>
      <c r="J19" s="128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39">
        <f>'KW 21'!S20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4">
        <f>'KW 21'!S22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5">
        <f>'KW 21'!S23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6">
        <f>'KW 21'!S24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4">
        <f>'KW 21'!S26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5">
        <f>'KW 21'!S27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6">
        <f>'KW 21'!S28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39">
        <f>'KW 21'!S30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I32" s="129"/>
      <c r="J32" s="129"/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4">
        <f>'KW 21'!S35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D30">
    <cfRule type="expression" dxfId="692" priority="19" stopIfTrue="1">
      <formula>AND(NOT(OR(ISBLANK($A5),$A5="Summe ")),$C$1="altes Jahr")</formula>
    </cfRule>
    <cfRule type="expression" dxfId="691" priority="21" stopIfTrue="1">
      <formula>AND(NOT(OR(ISBLANK($A5),$A5="Summe ")),WEEKDAY($C$3,2)&gt;5)</formula>
    </cfRule>
  </conditionalFormatting>
  <conditionalFormatting sqref="E5:F30">
    <cfRule type="expression" dxfId="690" priority="16" stopIfTrue="1">
      <formula>AND(NOT(OR(ISBLANK($A5),$A5="Summe ")),$E$1="altes Jahr")</formula>
    </cfRule>
    <cfRule type="expression" dxfId="689" priority="18" stopIfTrue="1">
      <formula>AND(NOT(OR(ISBLANK($A5),$A5="Summe ")),WEEKDAY($E$3,2)&gt;5)</formula>
    </cfRule>
  </conditionalFormatting>
  <conditionalFormatting sqref="G5:H30">
    <cfRule type="expression" dxfId="688" priority="13" stopIfTrue="1">
      <formula>AND(NOT(OR(ISBLANK($A5),$A5="Summe ")),$G$1="altes Jahr")</formula>
    </cfRule>
    <cfRule type="expression" dxfId="687" priority="15" stopIfTrue="1">
      <formula>AND(NOT(OR(ISBLANK($A5),$A5="Summe ")),WEEKDAY($G$3,2)&gt;5)</formula>
    </cfRule>
  </conditionalFormatting>
  <conditionalFormatting sqref="I5:J30">
    <cfRule type="expression" dxfId="686" priority="10" stopIfTrue="1">
      <formula>AND(NOT(OR(ISBLANK($A5),$A5="Summe ")),$I$1="altes Jahr")</formula>
    </cfRule>
    <cfRule type="expression" dxfId="685" priority="12" stopIfTrue="1">
      <formula>AND(NOT(OR(ISBLANK($A5),$A5="Summe ")),WEEKDAY($I$3,2)&gt;5)</formula>
    </cfRule>
  </conditionalFormatting>
  <conditionalFormatting sqref="K5:L30">
    <cfRule type="expression" dxfId="684" priority="7" stopIfTrue="1">
      <formula>AND(NOT(OR(ISBLANK($A5),$A5="Summe ")),$K$1="altes Jahr")</formula>
    </cfRule>
    <cfRule type="expression" dxfId="683" priority="9" stopIfTrue="1">
      <formula>AND(NOT(OR(ISBLANK($A5),$A5="Summe ")),WEEKDAY($K$3,2)&gt;5)</formula>
    </cfRule>
  </conditionalFormatting>
  <conditionalFormatting sqref="M5:N30">
    <cfRule type="expression" dxfId="682" priority="4" stopIfTrue="1">
      <formula>AND(NOT(OR(ISBLANK($A5),$A5="Summe ")),$M$1="altes Jahr")</formula>
    </cfRule>
    <cfRule type="expression" dxfId="681" priority="6" stopIfTrue="1">
      <formula>AND(NOT(OR(ISBLANK($A5),$A5="Summe ")),WEEKDAY($M$3,2)&gt;5)</formula>
    </cfRule>
  </conditionalFormatting>
  <conditionalFormatting sqref="O5:P30">
    <cfRule type="expression" dxfId="680" priority="1" stopIfTrue="1">
      <formula>AND(NOT(OR(ISBLANK($A5),$A5="Summe ")),$O$1="altes Jahr")</formula>
    </cfRule>
    <cfRule type="expression" dxfId="679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A86F6142-F03A-41D1-A0FE-B9327E12B251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7BC9D133-7814-458C-B538-79302B76EED9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0B9AC932-DA33-4E3A-A4EC-A53FE1A5A113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B6F9737A-4BD6-42E7-B8BC-703A19787766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5E999394-6228-482B-8F76-B601E5ACA54B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EEA8C5AC-5357-455B-B5AA-D3A2C6BA51C5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D4ABEED4-E37A-45ED-AE79-3CA771E2E7DB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26"/>
  <dimension ref="A1:U37"/>
  <sheetViews>
    <sheetView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78" t="s">
        <v>20</v>
      </c>
      <c r="B3" s="182" t="s">
        <v>21</v>
      </c>
      <c r="C3" s="91">
        <f>'KW 1'!$C$3+154</f>
        <v>44354</v>
      </c>
      <c r="D3" s="92">
        <f>C3</f>
        <v>44354</v>
      </c>
      <c r="E3" s="91">
        <f>C3+1</f>
        <v>44355</v>
      </c>
      <c r="F3" s="92">
        <f>E3</f>
        <v>44355</v>
      </c>
      <c r="G3" s="91">
        <f>C3+2</f>
        <v>44356</v>
      </c>
      <c r="H3" s="92">
        <f>G3</f>
        <v>44356</v>
      </c>
      <c r="I3" s="91">
        <f>C3+3</f>
        <v>44357</v>
      </c>
      <c r="J3" s="92">
        <f>I3</f>
        <v>44357</v>
      </c>
      <c r="K3" s="91">
        <f>C3+4</f>
        <v>44358</v>
      </c>
      <c r="L3" s="92">
        <f>K3</f>
        <v>44358</v>
      </c>
      <c r="M3" s="91">
        <f>C3+5</f>
        <v>44359</v>
      </c>
      <c r="N3" s="92">
        <f>M3</f>
        <v>44359</v>
      </c>
      <c r="O3" s="91">
        <f>C3+6</f>
        <v>44360</v>
      </c>
      <c r="P3" s="92">
        <f>O3</f>
        <v>44360</v>
      </c>
      <c r="Q3" s="14" t="s">
        <v>0</v>
      </c>
      <c r="R3" s="15" t="s">
        <v>0</v>
      </c>
      <c r="S3" s="178" t="s">
        <v>1</v>
      </c>
      <c r="T3" s="178" t="s">
        <v>2</v>
      </c>
      <c r="U3" s="176" t="s">
        <v>4</v>
      </c>
    </row>
    <row r="4" spans="1:21" ht="15.75" thickBot="1" x14ac:dyDescent="0.3">
      <c r="A4" s="179"/>
      <c r="B4" s="183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77"/>
    </row>
    <row r="5" spans="1:21" x14ac:dyDescent="0.25">
      <c r="A5" s="19" t="str">
        <f>Start!A5</f>
        <v>Postbearbeitung Bestand</v>
      </c>
      <c r="B5" s="134">
        <f>'KW 22'!S5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5">
        <f>'KW 22'!S6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6">
        <f>'KW 22'!S7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5">
        <f>'KW 22'!S9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5">
        <f>'KW 22'!S10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5">
        <f>'KW 22'!S11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5">
        <f>'KW 22'!S12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5">
        <f>'KW 22'!S14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5">
        <f>'KW 22'!S15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5">
        <f>'KW 22'!S17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39">
        <f>'KW 22'!S20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4">
        <f>'KW 22'!S22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5">
        <f>'KW 22'!S23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6">
        <f>'KW 22'!S24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4">
        <f>'KW 22'!S26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5">
        <f>'KW 22'!S27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6">
        <f>'KW 22'!S28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39">
        <f>'KW 22'!S30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4">
        <f>'KW 22'!S35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D30">
    <cfRule type="expression" dxfId="671" priority="19" stopIfTrue="1">
      <formula>AND(NOT(OR(ISBLANK($A5),$A5="Summe ")),$C$1="altes Jahr")</formula>
    </cfRule>
    <cfRule type="expression" dxfId="670" priority="21" stopIfTrue="1">
      <formula>AND(NOT(OR(ISBLANK($A5),$A5="Summe ")),WEEKDAY($C$3,2)&gt;5)</formula>
    </cfRule>
  </conditionalFormatting>
  <conditionalFormatting sqref="E5:F30">
    <cfRule type="expression" dxfId="669" priority="16" stopIfTrue="1">
      <formula>AND(NOT(OR(ISBLANK($A5),$A5="Summe ")),$E$1="altes Jahr")</formula>
    </cfRule>
    <cfRule type="expression" dxfId="668" priority="18" stopIfTrue="1">
      <formula>AND(NOT(OR(ISBLANK($A5),$A5="Summe ")),WEEKDAY($E$3,2)&gt;5)</formula>
    </cfRule>
  </conditionalFormatting>
  <conditionalFormatting sqref="G5:H30">
    <cfRule type="expression" dxfId="667" priority="13" stopIfTrue="1">
      <formula>AND(NOT(OR(ISBLANK($A5),$A5="Summe ")),$G$1="altes Jahr")</formula>
    </cfRule>
    <cfRule type="expression" dxfId="666" priority="15" stopIfTrue="1">
      <formula>AND(NOT(OR(ISBLANK($A5),$A5="Summe ")),WEEKDAY($G$3,2)&gt;5)</formula>
    </cfRule>
  </conditionalFormatting>
  <conditionalFormatting sqref="I5:J30">
    <cfRule type="expression" dxfId="665" priority="10" stopIfTrue="1">
      <formula>AND(NOT(OR(ISBLANK($A5),$A5="Summe ")),$I$1="altes Jahr")</formula>
    </cfRule>
    <cfRule type="expression" dxfId="664" priority="12" stopIfTrue="1">
      <formula>AND(NOT(OR(ISBLANK($A5),$A5="Summe ")),WEEKDAY($I$3,2)&gt;5)</formula>
    </cfRule>
  </conditionalFormatting>
  <conditionalFormatting sqref="K5:L30">
    <cfRule type="expression" dxfId="663" priority="7" stopIfTrue="1">
      <formula>AND(NOT(OR(ISBLANK($A5),$A5="Summe ")),$K$1="altes Jahr")</formula>
    </cfRule>
    <cfRule type="expression" dxfId="662" priority="9" stopIfTrue="1">
      <formula>AND(NOT(OR(ISBLANK($A5),$A5="Summe ")),WEEKDAY($K$3,2)&gt;5)</formula>
    </cfRule>
  </conditionalFormatting>
  <conditionalFormatting sqref="M5:N30">
    <cfRule type="expression" dxfId="661" priority="4" stopIfTrue="1">
      <formula>AND(NOT(OR(ISBLANK($A5),$A5="Summe ")),$M$1="altes Jahr")</formula>
    </cfRule>
    <cfRule type="expression" dxfId="660" priority="6" stopIfTrue="1">
      <formula>AND(NOT(OR(ISBLANK($A5),$A5="Summe ")),WEEKDAY($M$3,2)&gt;5)</formula>
    </cfRule>
  </conditionalFormatting>
  <conditionalFormatting sqref="O5:P30">
    <cfRule type="expression" dxfId="659" priority="1" stopIfTrue="1">
      <formula>AND(NOT(OR(ISBLANK($A5),$A5="Summe ")),$O$1="altes Jahr")</formula>
    </cfRule>
    <cfRule type="expression" dxfId="658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F28D6397-76FC-44C9-8F0A-1F0F4BAECC33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E297C574-D4FA-45E8-9048-8CF5262586FF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4916D827-38CB-4A27-BAA7-797AA6BEDF3B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90F5D89A-4139-4C23-A40F-3955EF6AAB87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01EF97DD-8FBA-4B73-90CE-F650BDA97B64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2456F21E-4050-498F-B3C1-DDDE4B714C7E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83CA8517-9B3F-4CAA-868D-B721D302ABE2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27"/>
  <dimension ref="A1:U37"/>
  <sheetViews>
    <sheetView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78" t="s">
        <v>20</v>
      </c>
      <c r="B3" s="182" t="s">
        <v>21</v>
      </c>
      <c r="C3" s="91">
        <f>'KW 1'!$C$3+161</f>
        <v>44361</v>
      </c>
      <c r="D3" s="92">
        <f>C3</f>
        <v>44361</v>
      </c>
      <c r="E3" s="91">
        <f>C3+1</f>
        <v>44362</v>
      </c>
      <c r="F3" s="92">
        <f>E3</f>
        <v>44362</v>
      </c>
      <c r="G3" s="91">
        <f>C3+2</f>
        <v>44363</v>
      </c>
      <c r="H3" s="92">
        <f>G3</f>
        <v>44363</v>
      </c>
      <c r="I3" s="91">
        <f>C3+3</f>
        <v>44364</v>
      </c>
      <c r="J3" s="92">
        <f>I3</f>
        <v>44364</v>
      </c>
      <c r="K3" s="91">
        <f>C3+4</f>
        <v>44365</v>
      </c>
      <c r="L3" s="92">
        <f>K3</f>
        <v>44365</v>
      </c>
      <c r="M3" s="91">
        <f>C3+5</f>
        <v>44366</v>
      </c>
      <c r="N3" s="92">
        <f>M3</f>
        <v>44366</v>
      </c>
      <c r="O3" s="91">
        <f>C3+6</f>
        <v>44367</v>
      </c>
      <c r="P3" s="92">
        <f>O3</f>
        <v>44367</v>
      </c>
      <c r="Q3" s="14" t="s">
        <v>0</v>
      </c>
      <c r="R3" s="15" t="s">
        <v>0</v>
      </c>
      <c r="S3" s="178" t="s">
        <v>1</v>
      </c>
      <c r="T3" s="178" t="s">
        <v>2</v>
      </c>
      <c r="U3" s="176" t="s">
        <v>4</v>
      </c>
    </row>
    <row r="4" spans="1:21" ht="15.75" thickBot="1" x14ac:dyDescent="0.3">
      <c r="A4" s="179"/>
      <c r="B4" s="183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77"/>
    </row>
    <row r="5" spans="1:21" x14ac:dyDescent="0.25">
      <c r="A5" s="19" t="str">
        <f>Start!A5</f>
        <v>Postbearbeitung Bestand</v>
      </c>
      <c r="B5" s="134">
        <f>'KW 23'!S5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5">
        <f>'KW 23'!S6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6">
        <f>'KW 23'!S7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5">
        <f>'KW 23'!S9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5">
        <f>'KW 23'!S10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5">
        <f>'KW 23'!S11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5">
        <f>'KW 23'!S12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5">
        <f>'KW 23'!S14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5">
        <f>'KW 23'!S15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5">
        <f>'KW 23'!S17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39">
        <f>'KW 23'!S20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4">
        <f>'KW 23'!S22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5">
        <f>'KW 23'!S23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6">
        <f>'KW 23'!S24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4">
        <f>'KW 23'!S26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5">
        <f>'KW 23'!S27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6">
        <f>'KW 23'!S28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39">
        <f>'KW 23'!S30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4">
        <f>'KW 23'!S35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D30">
    <cfRule type="expression" dxfId="650" priority="19" stopIfTrue="1">
      <formula>AND(NOT(OR(ISBLANK($A5),$A5="Summe ")),$C$1="altes Jahr")</formula>
    </cfRule>
    <cfRule type="expression" dxfId="649" priority="21" stopIfTrue="1">
      <formula>AND(NOT(OR(ISBLANK($A5),$A5="Summe ")),WEEKDAY($C$3,2)&gt;5)</formula>
    </cfRule>
  </conditionalFormatting>
  <conditionalFormatting sqref="E5:F30">
    <cfRule type="expression" dxfId="648" priority="16" stopIfTrue="1">
      <formula>AND(NOT(OR(ISBLANK($A5),$A5="Summe ")),$E$1="altes Jahr")</formula>
    </cfRule>
    <cfRule type="expression" dxfId="647" priority="18" stopIfTrue="1">
      <formula>AND(NOT(OR(ISBLANK($A5),$A5="Summe ")),WEEKDAY($E$3,2)&gt;5)</formula>
    </cfRule>
  </conditionalFormatting>
  <conditionalFormatting sqref="G5:H30">
    <cfRule type="expression" dxfId="646" priority="13" stopIfTrue="1">
      <formula>AND(NOT(OR(ISBLANK($A5),$A5="Summe ")),$G$1="altes Jahr")</formula>
    </cfRule>
    <cfRule type="expression" dxfId="645" priority="15" stopIfTrue="1">
      <formula>AND(NOT(OR(ISBLANK($A5),$A5="Summe ")),WEEKDAY($G$3,2)&gt;5)</formula>
    </cfRule>
  </conditionalFormatting>
  <conditionalFormatting sqref="I5:J30">
    <cfRule type="expression" dxfId="644" priority="10" stopIfTrue="1">
      <formula>AND(NOT(OR(ISBLANK($A5),$A5="Summe ")),$I$1="altes Jahr")</formula>
    </cfRule>
    <cfRule type="expression" dxfId="643" priority="12" stopIfTrue="1">
      <formula>AND(NOT(OR(ISBLANK($A5),$A5="Summe ")),WEEKDAY($I$3,2)&gt;5)</formula>
    </cfRule>
  </conditionalFormatting>
  <conditionalFormatting sqref="K5:L30">
    <cfRule type="expression" dxfId="642" priority="7" stopIfTrue="1">
      <formula>AND(NOT(OR(ISBLANK($A5),$A5="Summe ")),$K$1="altes Jahr")</formula>
    </cfRule>
    <cfRule type="expression" dxfId="641" priority="9" stopIfTrue="1">
      <formula>AND(NOT(OR(ISBLANK($A5),$A5="Summe ")),WEEKDAY($K$3,2)&gt;5)</formula>
    </cfRule>
  </conditionalFormatting>
  <conditionalFormatting sqref="M5:N30">
    <cfRule type="expression" dxfId="640" priority="4" stopIfTrue="1">
      <formula>AND(NOT(OR(ISBLANK($A5),$A5="Summe ")),$M$1="altes Jahr")</formula>
    </cfRule>
    <cfRule type="expression" dxfId="639" priority="6" stopIfTrue="1">
      <formula>AND(NOT(OR(ISBLANK($A5),$A5="Summe ")),WEEKDAY($M$3,2)&gt;5)</formula>
    </cfRule>
  </conditionalFormatting>
  <conditionalFormatting sqref="O5:P30">
    <cfRule type="expression" dxfId="638" priority="1" stopIfTrue="1">
      <formula>AND(NOT(OR(ISBLANK($A5),$A5="Summe ")),$O$1="altes Jahr")</formula>
    </cfRule>
    <cfRule type="expression" dxfId="637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41C382EA-7469-4F6D-9D1A-9A52468D5B80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AAE958D1-6000-41C5-A19A-AAB7150B55DC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1A749844-7125-4CED-9F42-F85C7CDC95B2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ADD51395-62C2-4B45-A7BE-ED05C08FAA81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1A2F7B51-CD28-4F76-B57E-7FA0A6BCB252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5CF6BEFD-E5A6-4AC6-9C9C-AEAE897AF323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893095D6-ADE2-4674-92F3-29EF38B99D4F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28"/>
  <dimension ref="A1:U37"/>
  <sheetViews>
    <sheetView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78" t="s">
        <v>20</v>
      </c>
      <c r="B3" s="182" t="s">
        <v>21</v>
      </c>
      <c r="C3" s="91">
        <f>'KW 1'!$C$3+168</f>
        <v>44368</v>
      </c>
      <c r="D3" s="92">
        <f>C3</f>
        <v>44368</v>
      </c>
      <c r="E3" s="91">
        <f>C3+1</f>
        <v>44369</v>
      </c>
      <c r="F3" s="92">
        <f>E3</f>
        <v>44369</v>
      </c>
      <c r="G3" s="91">
        <f>C3+2</f>
        <v>44370</v>
      </c>
      <c r="H3" s="92">
        <f>G3</f>
        <v>44370</v>
      </c>
      <c r="I3" s="91">
        <f>C3+3</f>
        <v>44371</v>
      </c>
      <c r="J3" s="92">
        <f>I3</f>
        <v>44371</v>
      </c>
      <c r="K3" s="91">
        <f>C3+4</f>
        <v>44372</v>
      </c>
      <c r="L3" s="92">
        <f>K3</f>
        <v>44372</v>
      </c>
      <c r="M3" s="91">
        <f>C3+5</f>
        <v>44373</v>
      </c>
      <c r="N3" s="92">
        <f>M3</f>
        <v>44373</v>
      </c>
      <c r="O3" s="91">
        <f>C3+6</f>
        <v>44374</v>
      </c>
      <c r="P3" s="92">
        <f>O3</f>
        <v>44374</v>
      </c>
      <c r="Q3" s="14" t="s">
        <v>0</v>
      </c>
      <c r="R3" s="15" t="s">
        <v>0</v>
      </c>
      <c r="S3" s="178" t="s">
        <v>1</v>
      </c>
      <c r="T3" s="178" t="s">
        <v>2</v>
      </c>
      <c r="U3" s="176" t="s">
        <v>4</v>
      </c>
    </row>
    <row r="4" spans="1:21" ht="15.75" thickBot="1" x14ac:dyDescent="0.3">
      <c r="A4" s="179"/>
      <c r="B4" s="183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77"/>
    </row>
    <row r="5" spans="1:21" x14ac:dyDescent="0.25">
      <c r="A5" s="19" t="str">
        <f>Start!A5</f>
        <v>Postbearbeitung Bestand</v>
      </c>
      <c r="B5" s="134">
        <f>'KW 24'!S5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5">
        <f>'KW 24'!S6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6">
        <f>'KW 24'!S7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5">
        <f>'KW 24'!S9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5">
        <f>'KW 24'!S10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5">
        <f>'KW 24'!S11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5">
        <f>'KW 24'!S12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5">
        <f>'KW 24'!S14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5">
        <f>'KW 24'!S15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5">
        <f>'KW 24'!S17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39">
        <f>'KW 24'!S20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4">
        <f>'KW 24'!S22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5">
        <f>'KW 24'!S23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6">
        <f>'KW 24'!S24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4">
        <f>'KW 24'!S26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5">
        <f>'KW 24'!S27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6">
        <f>'KW 24'!S28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39">
        <f>'KW 24'!S30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4">
        <f>'KW 24'!S35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D30">
    <cfRule type="expression" dxfId="629" priority="19" stopIfTrue="1">
      <formula>AND(NOT(OR(ISBLANK($A5),$A5="Summe ")),$C$1="altes Jahr")</formula>
    </cfRule>
    <cfRule type="expression" dxfId="628" priority="21" stopIfTrue="1">
      <formula>AND(NOT(OR(ISBLANK($A5),$A5="Summe ")),WEEKDAY($C$3,2)&gt;5)</formula>
    </cfRule>
  </conditionalFormatting>
  <conditionalFormatting sqref="E5:F30">
    <cfRule type="expression" dxfId="627" priority="16" stopIfTrue="1">
      <formula>AND(NOT(OR(ISBLANK($A5),$A5="Summe ")),$E$1="altes Jahr")</formula>
    </cfRule>
    <cfRule type="expression" dxfId="626" priority="18" stopIfTrue="1">
      <formula>AND(NOT(OR(ISBLANK($A5),$A5="Summe ")),WEEKDAY($E$3,2)&gt;5)</formula>
    </cfRule>
  </conditionalFormatting>
  <conditionalFormatting sqref="G5:H30">
    <cfRule type="expression" dxfId="625" priority="13" stopIfTrue="1">
      <formula>AND(NOT(OR(ISBLANK($A5),$A5="Summe ")),$G$1="altes Jahr")</formula>
    </cfRule>
    <cfRule type="expression" dxfId="624" priority="15" stopIfTrue="1">
      <formula>AND(NOT(OR(ISBLANK($A5),$A5="Summe ")),WEEKDAY($G$3,2)&gt;5)</formula>
    </cfRule>
  </conditionalFormatting>
  <conditionalFormatting sqref="I5:J30">
    <cfRule type="expression" dxfId="623" priority="10" stopIfTrue="1">
      <formula>AND(NOT(OR(ISBLANK($A5),$A5="Summe ")),$I$1="altes Jahr")</formula>
    </cfRule>
    <cfRule type="expression" dxfId="622" priority="12" stopIfTrue="1">
      <formula>AND(NOT(OR(ISBLANK($A5),$A5="Summe ")),WEEKDAY($I$3,2)&gt;5)</formula>
    </cfRule>
  </conditionalFormatting>
  <conditionalFormatting sqref="K5:L30">
    <cfRule type="expression" dxfId="621" priority="7" stopIfTrue="1">
      <formula>AND(NOT(OR(ISBLANK($A5),$A5="Summe ")),$K$1="altes Jahr")</formula>
    </cfRule>
    <cfRule type="expression" dxfId="620" priority="9" stopIfTrue="1">
      <formula>AND(NOT(OR(ISBLANK($A5),$A5="Summe ")),WEEKDAY($K$3,2)&gt;5)</formula>
    </cfRule>
  </conditionalFormatting>
  <conditionalFormatting sqref="M5:N30">
    <cfRule type="expression" dxfId="619" priority="4" stopIfTrue="1">
      <formula>AND(NOT(OR(ISBLANK($A5),$A5="Summe ")),$M$1="altes Jahr")</formula>
    </cfRule>
    <cfRule type="expression" dxfId="618" priority="6" stopIfTrue="1">
      <formula>AND(NOT(OR(ISBLANK($A5),$A5="Summe ")),WEEKDAY($M$3,2)&gt;5)</formula>
    </cfRule>
  </conditionalFormatting>
  <conditionalFormatting sqref="O5:P30">
    <cfRule type="expression" dxfId="617" priority="1" stopIfTrue="1">
      <formula>AND(NOT(OR(ISBLANK($A5),$A5="Summe ")),$O$1="altes Jahr")</formula>
    </cfRule>
    <cfRule type="expression" dxfId="616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FC2D2CF5-0030-4DB9-B2B8-FD66907ABA24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DE4B95FA-B823-4311-8407-A8744D8FC9AC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2C4AEB4C-A57A-4895-9CE9-6DA28E3EF7B2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22FD2751-2A03-4A1E-B556-582B02C28E6B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1AB23157-6431-4A6C-9CA9-476FD117FDEC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49263120-129C-4D2D-A22F-2347DF6D5654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71C753E8-3336-4C74-BDAF-209F15F151EB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29"/>
  <dimension ref="A1:U37"/>
  <sheetViews>
    <sheetView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78" t="s">
        <v>20</v>
      </c>
      <c r="B3" s="182" t="s">
        <v>21</v>
      </c>
      <c r="C3" s="91">
        <f>'KW 1'!$C$3+175</f>
        <v>44375</v>
      </c>
      <c r="D3" s="92">
        <f>C3</f>
        <v>44375</v>
      </c>
      <c r="E3" s="91">
        <f>C3+1</f>
        <v>44376</v>
      </c>
      <c r="F3" s="92">
        <f>E3</f>
        <v>44376</v>
      </c>
      <c r="G3" s="91">
        <f>C3+2</f>
        <v>44377</v>
      </c>
      <c r="H3" s="92">
        <f>G3</f>
        <v>44377</v>
      </c>
      <c r="I3" s="91">
        <f>C3+3</f>
        <v>44378</v>
      </c>
      <c r="J3" s="92">
        <f>I3</f>
        <v>44378</v>
      </c>
      <c r="K3" s="91">
        <f>C3+4</f>
        <v>44379</v>
      </c>
      <c r="L3" s="92">
        <f>K3</f>
        <v>44379</v>
      </c>
      <c r="M3" s="91">
        <f>C3+5</f>
        <v>44380</v>
      </c>
      <c r="N3" s="92">
        <f>M3</f>
        <v>44380</v>
      </c>
      <c r="O3" s="91">
        <f>C3+6</f>
        <v>44381</v>
      </c>
      <c r="P3" s="92">
        <f>O3</f>
        <v>44381</v>
      </c>
      <c r="Q3" s="14" t="s">
        <v>0</v>
      </c>
      <c r="R3" s="15" t="s">
        <v>0</v>
      </c>
      <c r="S3" s="178" t="s">
        <v>1</v>
      </c>
      <c r="T3" s="178" t="s">
        <v>2</v>
      </c>
      <c r="U3" s="176" t="s">
        <v>4</v>
      </c>
    </row>
    <row r="4" spans="1:21" ht="15.75" thickBot="1" x14ac:dyDescent="0.3">
      <c r="A4" s="179"/>
      <c r="B4" s="183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77"/>
    </row>
    <row r="5" spans="1:21" x14ac:dyDescent="0.25">
      <c r="A5" s="19" t="str">
        <f>Start!A5</f>
        <v>Postbearbeitung Bestand</v>
      </c>
      <c r="B5" s="134">
        <f>'KW 25'!S5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5">
        <f>'KW 25'!S6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6">
        <f>'KW 25'!S7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5">
        <f>'KW 25'!S9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5">
        <f>'KW 25'!S10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5">
        <f>'KW 25'!S11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5">
        <f>'KW 25'!S12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5">
        <f>'KW 25'!S14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5">
        <f>'KW 25'!S15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5">
        <f>'KW 25'!S17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39">
        <f>'KW 25'!S20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4">
        <f>'KW 25'!S22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5">
        <f>'KW 25'!S23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6">
        <f>'KW 25'!S24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4">
        <f>'KW 25'!S26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5">
        <f>'KW 25'!S27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6">
        <f>'KW 25'!S28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39">
        <f>'KW 25'!S30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4">
        <f>'KW 25'!S35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D30">
    <cfRule type="expression" dxfId="608" priority="19" stopIfTrue="1">
      <formula>AND(NOT(OR(ISBLANK($A5),$A5="Summe ")),$C$1="altes Jahr")</formula>
    </cfRule>
    <cfRule type="expression" dxfId="607" priority="21" stopIfTrue="1">
      <formula>AND(NOT(OR(ISBLANK($A5),$A5="Summe ")),WEEKDAY($C$3,2)&gt;5)</formula>
    </cfRule>
  </conditionalFormatting>
  <conditionalFormatting sqref="E5:F30">
    <cfRule type="expression" dxfId="606" priority="16" stopIfTrue="1">
      <formula>AND(NOT(OR(ISBLANK($A5),$A5="Summe ")),$E$1="altes Jahr")</formula>
    </cfRule>
    <cfRule type="expression" dxfId="605" priority="18" stopIfTrue="1">
      <formula>AND(NOT(OR(ISBLANK($A5),$A5="Summe ")),WEEKDAY($E$3,2)&gt;5)</formula>
    </cfRule>
  </conditionalFormatting>
  <conditionalFormatting sqref="G5:H30">
    <cfRule type="expression" dxfId="604" priority="13" stopIfTrue="1">
      <formula>AND(NOT(OR(ISBLANK($A5),$A5="Summe ")),$G$1="altes Jahr")</formula>
    </cfRule>
    <cfRule type="expression" dxfId="603" priority="15" stopIfTrue="1">
      <formula>AND(NOT(OR(ISBLANK($A5),$A5="Summe ")),WEEKDAY($G$3,2)&gt;5)</formula>
    </cfRule>
  </conditionalFormatting>
  <conditionalFormatting sqref="I5:J30">
    <cfRule type="expression" dxfId="602" priority="10" stopIfTrue="1">
      <formula>AND(NOT(OR(ISBLANK($A5),$A5="Summe ")),$I$1="altes Jahr")</formula>
    </cfRule>
    <cfRule type="expression" dxfId="601" priority="12" stopIfTrue="1">
      <formula>AND(NOT(OR(ISBLANK($A5),$A5="Summe ")),WEEKDAY($I$3,2)&gt;5)</formula>
    </cfRule>
  </conditionalFormatting>
  <conditionalFormatting sqref="K5:L30">
    <cfRule type="expression" dxfId="600" priority="7" stopIfTrue="1">
      <formula>AND(NOT(OR(ISBLANK($A5),$A5="Summe ")),$K$1="altes Jahr")</formula>
    </cfRule>
    <cfRule type="expression" dxfId="599" priority="9" stopIfTrue="1">
      <formula>AND(NOT(OR(ISBLANK($A5),$A5="Summe ")),WEEKDAY($K$3,2)&gt;5)</formula>
    </cfRule>
  </conditionalFormatting>
  <conditionalFormatting sqref="M5:N30">
    <cfRule type="expression" dxfId="598" priority="4" stopIfTrue="1">
      <formula>AND(NOT(OR(ISBLANK($A5),$A5="Summe ")),$M$1="altes Jahr")</formula>
    </cfRule>
    <cfRule type="expression" dxfId="597" priority="6" stopIfTrue="1">
      <formula>AND(NOT(OR(ISBLANK($A5),$A5="Summe ")),WEEKDAY($M$3,2)&gt;5)</formula>
    </cfRule>
  </conditionalFormatting>
  <conditionalFormatting sqref="O5:P30">
    <cfRule type="expression" dxfId="596" priority="1" stopIfTrue="1">
      <formula>AND(NOT(OR(ISBLANK($A5),$A5="Summe ")),$O$1="altes Jahr")</formula>
    </cfRule>
    <cfRule type="expression" dxfId="595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AE802522-5FA9-4B0B-A4BE-AFE737F3C917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34511A3F-4551-4F9C-8906-A7673430D9CC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4AC6375B-EBF7-4331-91C5-831EE7024048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6E149C5B-F114-419E-848C-6F63CE14A9B5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527F02F1-5F60-4F8B-97C7-B06BE3EF4A02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66277182-4215-45A8-AE7A-834C7DBEEA18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44D7A713-7190-4F29-9CE1-7A49CE799BB5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W37"/>
  <sheetViews>
    <sheetView tabSelected="1" zoomScaleNormal="100"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2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B1" s="12"/>
      <c r="C1" s="2" t="str">
        <f>IF(C2=Start!$B$1,"",IF(C2&lt;Start!$B$1,"altes Jahr",IF(C2&gt;Start!$B$1,"neues Jahr")))</f>
        <v>altes Jahr</v>
      </c>
      <c r="E1" s="2" t="str">
        <f>IF(E2=Start!$B$1,"",IF(E2&lt;Start!$B$1,"altes Jahr",IF(E2&gt;Start!$B$1,"neues Jahr")))</f>
        <v>altes Jahr</v>
      </c>
      <c r="G1" s="2" t="str">
        <f>IF(G2=Start!$B$1,"",IF(G2&lt;Start!$B$1,"altes Jahr",IF(G2&gt;Start!$B$1,"neues Jahr")))</f>
        <v>altes Jahr</v>
      </c>
      <c r="I1" s="2" t="str">
        <f>IF(I2=Start!$B$1,"",IF(I2&lt;Start!$B$1,"altes Jahr",IF(I2&gt;Start!$B$1,"neues Jahr")))</f>
        <v>altes Jahr</v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s="119" customFormat="1" ht="16.5" thickBot="1" x14ac:dyDescent="0.3">
      <c r="A2" s="123"/>
      <c r="B2" s="124"/>
      <c r="C2" s="125">
        <f>YEAR(C3)</f>
        <v>2020</v>
      </c>
      <c r="D2" s="166" t="str">
        <f>IFERROR(VLOOKUP(C3,Start!$F$2:$G$22,2,0),"")</f>
        <v/>
      </c>
      <c r="E2" s="125">
        <f>YEAR(E3)</f>
        <v>2020</v>
      </c>
      <c r="F2" s="166" t="str">
        <f>IFERROR(VLOOKUP(E3,Start!$F$2:$G$22,2,0),"")</f>
        <v/>
      </c>
      <c r="G2" s="125">
        <f>YEAR(G3)</f>
        <v>2020</v>
      </c>
      <c r="H2" s="166" t="str">
        <f>IFERROR(VLOOKUP(G3,Start!$F$2:$G$22,2,0),"")</f>
        <v/>
      </c>
      <c r="I2" s="125">
        <f>YEAR(I3)</f>
        <v>2020</v>
      </c>
      <c r="J2" s="166" t="str">
        <f>IFERROR(VLOOKUP(I3,Start!$F$2:$G$22,2,0),"")</f>
        <v>Sylvester</v>
      </c>
      <c r="K2" s="125">
        <f>YEAR(K3)</f>
        <v>2021</v>
      </c>
      <c r="L2" s="166" t="str">
        <f>IFERROR(VLOOKUP(K3,Start!$F$2:$G$22,2,0),"")</f>
        <v>Neujahr</v>
      </c>
      <c r="M2" s="125">
        <f>YEAR(M3)</f>
        <v>2021</v>
      </c>
      <c r="N2" s="166" t="str">
        <f>IFERROR(VLOOKUP(M3,Start!$F$2:$G$22,2,0),"")</f>
        <v/>
      </c>
      <c r="O2" s="125">
        <f>YEAR(O3)</f>
        <v>2021</v>
      </c>
      <c r="P2" s="166" t="str">
        <f>IFERROR(VLOOKUP(O3,Start!$F$2:$G$22,2,0),"")</f>
        <v/>
      </c>
    </row>
    <row r="3" spans="1:23" ht="15.75" thickBot="1" x14ac:dyDescent="0.3">
      <c r="A3" s="178" t="s">
        <v>20</v>
      </c>
      <c r="B3" s="178" t="s">
        <v>21</v>
      </c>
      <c r="C3" s="91">
        <f>E3-1</f>
        <v>43831</v>
      </c>
      <c r="D3" s="92">
        <f>C3</f>
        <v>43831</v>
      </c>
      <c r="E3" s="91">
        <f>G3-1</f>
        <v>43832</v>
      </c>
      <c r="F3" s="92">
        <f>E3</f>
        <v>43832</v>
      </c>
      <c r="G3" s="91">
        <v>43833</v>
      </c>
      <c r="H3" s="92">
        <f>G3</f>
        <v>43833</v>
      </c>
      <c r="I3" s="91">
        <f>K3-1</f>
        <v>44196</v>
      </c>
      <c r="J3" s="92">
        <f>I3</f>
        <v>44196</v>
      </c>
      <c r="K3" s="91">
        <f>M3-1</f>
        <v>44197</v>
      </c>
      <c r="L3" s="92">
        <f>K3</f>
        <v>44197</v>
      </c>
      <c r="M3" s="91">
        <f>O3-1</f>
        <v>44198</v>
      </c>
      <c r="N3" s="92">
        <f>M3</f>
        <v>44198</v>
      </c>
      <c r="O3" s="91">
        <f>Start!I2-1</f>
        <v>44199</v>
      </c>
      <c r="P3" s="92">
        <f>O3</f>
        <v>44199</v>
      </c>
      <c r="Q3" s="14" t="s">
        <v>0</v>
      </c>
      <c r="R3" s="15" t="s">
        <v>0</v>
      </c>
      <c r="S3" s="178" t="s">
        <v>1</v>
      </c>
      <c r="T3" s="178" t="s">
        <v>2</v>
      </c>
      <c r="U3" s="180" t="s">
        <v>3</v>
      </c>
      <c r="V3" s="176"/>
      <c r="W3" s="176" t="s">
        <v>4</v>
      </c>
    </row>
    <row r="4" spans="1:23" ht="15.75" thickBot="1" x14ac:dyDescent="0.3">
      <c r="A4" s="179"/>
      <c r="B4" s="17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81"/>
      <c r="V4" s="177"/>
      <c r="W4" s="177"/>
    </row>
    <row r="5" spans="1:23" ht="15.75" thickBot="1" x14ac:dyDescent="0.3">
      <c r="A5" s="19" t="str">
        <f>Start!A5</f>
        <v>Postbearbeitung Bestand</v>
      </c>
      <c r="B5" s="134">
        <f>Start!B5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2"/>
      <c r="V5" s="22"/>
      <c r="W5" s="23">
        <f t="shared" ref="W5:W30" si="0">Q5/5</f>
        <v>0</v>
      </c>
    </row>
    <row r="6" spans="1:23" ht="15.75" thickBot="1" x14ac:dyDescent="0.3">
      <c r="A6" s="24" t="str">
        <f>Start!A6</f>
        <v>Mailbox</v>
      </c>
      <c r="B6" s="135">
        <f>Start!B6</f>
        <v>0</v>
      </c>
      <c r="C6" s="70"/>
      <c r="D6" s="70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26">
        <f t="shared" ref="Q6:Q7" si="1">C6+E6+G6+I6+K6+M6+O6</f>
        <v>0</v>
      </c>
      <c r="R6" s="26">
        <f t="shared" ref="R6:R7" si="2">D6+F6+H6+J6+L6+N6+P6</f>
        <v>0</v>
      </c>
      <c r="S6" s="27">
        <f t="shared" ref="S6:S12" si="3">B6+Q6-R6</f>
        <v>0</v>
      </c>
      <c r="T6" s="27">
        <f t="shared" ref="T6:T7" si="4">R6/5</f>
        <v>0</v>
      </c>
      <c r="U6" s="27"/>
      <c r="V6" s="27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6">
        <f>Start!B7</f>
        <v>0</v>
      </c>
      <c r="C7" s="71"/>
      <c r="D7" s="71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31">
        <f t="shared" si="1"/>
        <v>0</v>
      </c>
      <c r="R7" s="31">
        <f t="shared" si="2"/>
        <v>0</v>
      </c>
      <c r="S7" s="32">
        <f t="shared" si="3"/>
        <v>0</v>
      </c>
      <c r="T7" s="32">
        <f t="shared" si="4"/>
        <v>0</v>
      </c>
      <c r="U7" s="32"/>
      <c r="V7" s="32"/>
      <c r="W7" s="33">
        <f t="shared" si="0"/>
        <v>0</v>
      </c>
    </row>
    <row r="8" spans="1:23" ht="7.35" customHeight="1" thickBot="1" x14ac:dyDescent="0.3">
      <c r="A8" s="34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35"/>
      <c r="R8" s="35"/>
      <c r="S8" s="35"/>
      <c r="T8" s="35"/>
      <c r="U8" s="35"/>
      <c r="V8" s="35"/>
      <c r="W8" s="15"/>
    </row>
    <row r="9" spans="1:23" ht="15.75" thickBot="1" x14ac:dyDescent="0.3">
      <c r="A9" s="19" t="str">
        <f>Start!A9</f>
        <v>OVE Abfragen</v>
      </c>
      <c r="B9" s="134">
        <f>Start!B9</f>
        <v>0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21">
        <f t="shared" ref="Q9:Q10" si="5">C9+E9+G9+I9+K9+M9+O9</f>
        <v>0</v>
      </c>
      <c r="R9" s="21">
        <f t="shared" ref="R9:R10" si="6">D9+F9+H9+J9+L9+N9+P9</f>
        <v>0</v>
      </c>
      <c r="S9" s="22">
        <f t="shared" si="3"/>
        <v>0</v>
      </c>
      <c r="T9" s="22">
        <f t="shared" ref="T9:T17" si="7">R9/5</f>
        <v>0</v>
      </c>
      <c r="U9" s="22"/>
      <c r="V9" s="22"/>
      <c r="W9" s="23">
        <f t="shared" si="0"/>
        <v>0</v>
      </c>
    </row>
    <row r="10" spans="1:23" ht="15.75" thickBot="1" x14ac:dyDescent="0.3">
      <c r="A10" s="24" t="str">
        <f>Start!A10</f>
        <v xml:space="preserve">   Buchungen</v>
      </c>
      <c r="B10" s="135">
        <f>Start!B10</f>
        <v>0</v>
      </c>
      <c r="C10" s="70"/>
      <c r="D10" s="70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26">
        <f t="shared" si="5"/>
        <v>0</v>
      </c>
      <c r="R10" s="26">
        <f t="shared" si="6"/>
        <v>0</v>
      </c>
      <c r="S10" s="27">
        <f t="shared" si="3"/>
        <v>0</v>
      </c>
      <c r="T10" s="27">
        <f t="shared" si="7"/>
        <v>0</v>
      </c>
      <c r="U10" s="27"/>
      <c r="V10" s="27"/>
      <c r="W10" s="28">
        <f t="shared" si="0"/>
        <v>0</v>
      </c>
    </row>
    <row r="11" spans="1:23" ht="15.75" thickBot="1" x14ac:dyDescent="0.3">
      <c r="A11" s="24" t="str">
        <f>Start!A11</f>
        <v>SB (Mietavale/StK)</v>
      </c>
      <c r="B11" s="135">
        <f>Start!B11</f>
        <v>2</v>
      </c>
      <c r="C11" s="71"/>
      <c r="D11" s="71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26">
        <f t="shared" ref="Q11:Q12" si="8">C11+E11+G11+I11+K11+M11+O11</f>
        <v>0</v>
      </c>
      <c r="R11" s="26">
        <f t="shared" ref="R11:R12" si="9">D11+F11+H11+J11+L11+N11+P11</f>
        <v>0</v>
      </c>
      <c r="S11" s="27">
        <f t="shared" si="3"/>
        <v>2</v>
      </c>
      <c r="T11" s="27">
        <f t="shared" si="7"/>
        <v>0</v>
      </c>
      <c r="U11" s="27"/>
      <c r="V11" s="27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6">
        <f>Start!B12</f>
        <v>0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31">
        <f t="shared" si="8"/>
        <v>0</v>
      </c>
      <c r="R12" s="31">
        <f t="shared" si="9"/>
        <v>0</v>
      </c>
      <c r="S12" s="32">
        <f t="shared" si="3"/>
        <v>0</v>
      </c>
      <c r="T12" s="32">
        <f t="shared" si="7"/>
        <v>0</v>
      </c>
      <c r="U12" s="36"/>
      <c r="V12" s="37"/>
      <c r="W12" s="33">
        <f t="shared" si="0"/>
        <v>0</v>
      </c>
    </row>
    <row r="13" spans="1:23" ht="7.35" customHeight="1" thickBot="1" x14ac:dyDescent="0.3">
      <c r="A13" s="34"/>
      <c r="B13" s="138"/>
      <c r="C13" s="138"/>
      <c r="D13" s="138"/>
      <c r="E13" s="138"/>
      <c r="F13" s="138"/>
      <c r="G13" s="138"/>
      <c r="H13" s="138"/>
      <c r="I13" s="138"/>
      <c r="J13" s="138"/>
      <c r="K13" s="137"/>
      <c r="L13" s="137"/>
      <c r="M13" s="137"/>
      <c r="N13" s="137"/>
      <c r="O13" s="137"/>
      <c r="P13" s="137"/>
      <c r="Q13" s="35"/>
      <c r="R13" s="35"/>
      <c r="S13" s="35"/>
      <c r="T13" s="35"/>
      <c r="U13" s="35"/>
      <c r="V13" s="35"/>
      <c r="W13" s="15"/>
    </row>
    <row r="14" spans="1:23" ht="16.149999999999999" customHeight="1" thickBot="1" x14ac:dyDescent="0.3">
      <c r="A14" s="19" t="str">
        <f>Start!A14</f>
        <v>Vorgängerinstitute</v>
      </c>
      <c r="B14" s="134">
        <f>Start!B14</f>
        <v>0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21">
        <f t="shared" ref="Q14:Q15" si="10">C14+E14+G14+I14+K14+M14+O14</f>
        <v>0</v>
      </c>
      <c r="R14" s="21">
        <f t="shared" ref="R14:R15" si="11">D14+F14+H14+J14+L14+N14+P14</f>
        <v>0</v>
      </c>
      <c r="S14" s="22">
        <f>B14+Q14-R14</f>
        <v>0</v>
      </c>
      <c r="T14" s="22">
        <f t="shared" si="7"/>
        <v>0</v>
      </c>
      <c r="U14" s="39"/>
      <c r="V14" s="39"/>
      <c r="W14" s="23">
        <f t="shared" si="0"/>
        <v>0</v>
      </c>
    </row>
    <row r="15" spans="1:23" ht="16.149999999999999" customHeight="1" thickBot="1" x14ac:dyDescent="0.3">
      <c r="A15" s="29" t="str">
        <f>Start!A15</f>
        <v>Einfachaufträge</v>
      </c>
      <c r="B15" s="136">
        <f>Start!B15</f>
        <v>0</v>
      </c>
      <c r="C15" s="70"/>
      <c r="D15" s="70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31">
        <f t="shared" si="10"/>
        <v>0</v>
      </c>
      <c r="R15" s="31">
        <f t="shared" si="11"/>
        <v>0</v>
      </c>
      <c r="S15" s="32">
        <f>B15+Q15-R15</f>
        <v>0</v>
      </c>
      <c r="T15" s="32">
        <f t="shared" si="7"/>
        <v>0</v>
      </c>
      <c r="U15" s="40"/>
      <c r="V15" s="40"/>
      <c r="W15" s="33">
        <f t="shared" si="0"/>
        <v>0</v>
      </c>
    </row>
    <row r="16" spans="1:23" ht="16.149999999999999" hidden="1" customHeight="1" thickBot="1" x14ac:dyDescent="0.3">
      <c r="A16" s="34"/>
      <c r="B16" s="138"/>
      <c r="C16" s="138"/>
      <c r="D16" s="138"/>
      <c r="E16" s="161"/>
      <c r="F16" s="161"/>
      <c r="G16" s="138"/>
      <c r="H16" s="138"/>
      <c r="I16" s="138"/>
      <c r="J16" s="138"/>
      <c r="K16" s="137"/>
      <c r="L16" s="137"/>
      <c r="M16" s="137"/>
      <c r="N16" s="137"/>
      <c r="O16" s="137"/>
      <c r="P16" s="137"/>
      <c r="Q16" s="35"/>
      <c r="R16" s="35"/>
      <c r="S16" s="35"/>
      <c r="T16" s="35"/>
      <c r="U16" s="35"/>
      <c r="V16" s="35"/>
      <c r="W16" s="15"/>
    </row>
    <row r="17" spans="1:23" ht="16.149999999999999" hidden="1" customHeight="1" thickBot="1" x14ac:dyDescent="0.3">
      <c r="A17" s="41">
        <f>Start!A17</f>
        <v>0</v>
      </c>
      <c r="B17" s="139">
        <f>Start!B17</f>
        <v>0</v>
      </c>
      <c r="C17" s="72"/>
      <c r="D17" s="72"/>
      <c r="E17" s="71"/>
      <c r="F17" s="71"/>
      <c r="G17" s="72"/>
      <c r="H17" s="72"/>
      <c r="I17" s="72"/>
      <c r="J17" s="72"/>
      <c r="K17" s="72"/>
      <c r="L17" s="72"/>
      <c r="M17" s="126"/>
      <c r="N17" s="126"/>
      <c r="O17" s="126"/>
      <c r="P17" s="126"/>
      <c r="Q17" s="43">
        <f t="shared" ref="Q17" si="12">C17+E17+G17+I17+K17+M17+O17</f>
        <v>0</v>
      </c>
      <c r="R17" s="43">
        <f t="shared" ref="R17" si="13">D17+F17+H17+J17+L17+N17+P17</f>
        <v>0</v>
      </c>
      <c r="S17" s="44">
        <f>B17+Q17-R17</f>
        <v>0</v>
      </c>
      <c r="T17" s="44">
        <f t="shared" si="7"/>
        <v>0</v>
      </c>
      <c r="U17" s="45"/>
      <c r="V17" s="45"/>
      <c r="W17" s="46">
        <f t="shared" si="0"/>
        <v>0</v>
      </c>
    </row>
    <row r="18" spans="1:23" ht="16.149999999999999" customHeight="1" thickBot="1" x14ac:dyDescent="0.3">
      <c r="A18" s="47" t="s">
        <v>13</v>
      </c>
      <c r="B18" s="140"/>
      <c r="C18" s="48">
        <f>SUM(C5:C17)</f>
        <v>0</v>
      </c>
      <c r="D18" s="48">
        <f t="shared" ref="D18:L18" si="14">SUM(D5:D17)</f>
        <v>0</v>
      </c>
      <c r="E18" s="48">
        <f t="shared" si="14"/>
        <v>0</v>
      </c>
      <c r="F18" s="48">
        <f t="shared" si="14"/>
        <v>0</v>
      </c>
      <c r="G18" s="48">
        <f t="shared" si="14"/>
        <v>0</v>
      </c>
      <c r="H18" s="48">
        <f t="shared" si="14"/>
        <v>0</v>
      </c>
      <c r="I18" s="48">
        <f t="shared" si="14"/>
        <v>0</v>
      </c>
      <c r="J18" s="48">
        <f t="shared" si="14"/>
        <v>0</v>
      </c>
      <c r="K18" s="48">
        <f t="shared" si="14"/>
        <v>0</v>
      </c>
      <c r="L18" s="48">
        <f t="shared" si="14"/>
        <v>0</v>
      </c>
      <c r="M18" s="48">
        <f t="shared" ref="M18:P18" si="15">SUM(M5:M17)</f>
        <v>0</v>
      </c>
      <c r="N18" s="48">
        <f t="shared" si="15"/>
        <v>0</v>
      </c>
      <c r="O18" s="48">
        <f t="shared" si="15"/>
        <v>0</v>
      </c>
      <c r="P18" s="48">
        <f t="shared" si="15"/>
        <v>0</v>
      </c>
      <c r="Q18" s="48">
        <f t="shared" ref="Q18:T18" si="16">SUM(Q5:Q17)</f>
        <v>0</v>
      </c>
      <c r="R18" s="48">
        <f t="shared" si="16"/>
        <v>0</v>
      </c>
      <c r="S18" s="49">
        <f t="shared" si="16"/>
        <v>2</v>
      </c>
      <c r="T18" s="49">
        <f t="shared" si="16"/>
        <v>0</v>
      </c>
      <c r="U18" s="49"/>
      <c r="V18" s="49"/>
      <c r="W18" s="49"/>
    </row>
    <row r="19" spans="1:23" ht="15.75" thickBot="1" x14ac:dyDescent="0.3">
      <c r="A19" s="50"/>
      <c r="B19" s="141"/>
      <c r="C19" s="141"/>
      <c r="D19" s="141"/>
      <c r="E19" s="70"/>
      <c r="F19" s="70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42">
        <f>Start!B20</f>
        <v>0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43">
        <f t="shared" ref="Q20" si="17">C20+E20+G20+I20+K20+M20+O20</f>
        <v>0</v>
      </c>
      <c r="R20" s="43">
        <f t="shared" ref="R20" si="18">D20+F20+H20+J20+L20+N20+P20</f>
        <v>0</v>
      </c>
      <c r="S20" s="44">
        <f>B20+Q20-R20</f>
        <v>0</v>
      </c>
      <c r="T20" s="44">
        <f t="shared" ref="T20:T30" si="19">R20/5</f>
        <v>0</v>
      </c>
      <c r="U20" s="44"/>
      <c r="V20" s="44"/>
      <c r="W20" s="46">
        <f t="shared" si="0"/>
        <v>0</v>
      </c>
    </row>
    <row r="21" spans="1:23" ht="7.35" customHeight="1" thickBot="1" x14ac:dyDescent="0.3">
      <c r="A21" s="34"/>
      <c r="B21" s="137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37"/>
      <c r="N21" s="137"/>
      <c r="O21" s="137"/>
      <c r="P21" s="137"/>
      <c r="Q21" s="35"/>
      <c r="R21" s="35"/>
      <c r="S21" s="35"/>
      <c r="T21" s="35"/>
      <c r="U21" s="35"/>
      <c r="V21" s="35"/>
      <c r="W21" s="15"/>
    </row>
    <row r="22" spans="1:23" ht="15.75" thickBot="1" x14ac:dyDescent="0.3">
      <c r="A22" s="19" t="str">
        <f>Start!A22</f>
        <v>SWP Mailbox</v>
      </c>
      <c r="B22" s="134">
        <f>Start!B22</f>
        <v>0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21">
        <f t="shared" ref="Q22:Q24" si="20">C22+E22+G22+I22+K22+M22+O22</f>
        <v>0</v>
      </c>
      <c r="R22" s="21">
        <f t="shared" ref="R22:R24" si="21">D22+F22+H22+J22+L22+N22+P22</f>
        <v>0</v>
      </c>
      <c r="S22" s="22">
        <f>B22+Q22-R22</f>
        <v>0</v>
      </c>
      <c r="T22" s="22">
        <f t="shared" si="19"/>
        <v>0</v>
      </c>
      <c r="U22" s="22"/>
      <c r="V22" s="22"/>
      <c r="W22" s="23">
        <f t="shared" si="0"/>
        <v>0</v>
      </c>
    </row>
    <row r="23" spans="1:23" ht="15.75" thickBot="1" x14ac:dyDescent="0.3">
      <c r="A23" s="24" t="str">
        <f>Start!A23</f>
        <v>KCB Mailbox</v>
      </c>
      <c r="B23" s="135">
        <f>Start!B23</f>
        <v>0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26">
        <f t="shared" si="20"/>
        <v>0</v>
      </c>
      <c r="R23" s="26">
        <f t="shared" si="21"/>
        <v>0</v>
      </c>
      <c r="S23" s="27">
        <f>B23+Q23-R23</f>
        <v>0</v>
      </c>
      <c r="T23" s="27">
        <f t="shared" si="19"/>
        <v>0</v>
      </c>
      <c r="U23" s="27"/>
      <c r="V23" s="27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6">
        <f>Start!B24</f>
        <v>0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31">
        <f t="shared" si="20"/>
        <v>0</v>
      </c>
      <c r="R24" s="31">
        <f t="shared" si="21"/>
        <v>0</v>
      </c>
      <c r="S24" s="32">
        <f t="shared" ref="S24:S30" si="22">B24+Q24-R24</f>
        <v>0</v>
      </c>
      <c r="T24" s="32">
        <f t="shared" si="19"/>
        <v>0</v>
      </c>
      <c r="U24" s="32"/>
      <c r="V24" s="32"/>
      <c r="W24" s="33">
        <f t="shared" si="0"/>
        <v>0</v>
      </c>
    </row>
    <row r="25" spans="1:23" ht="7.35" customHeight="1" thickBot="1" x14ac:dyDescent="0.3">
      <c r="A25" s="34"/>
      <c r="B25" s="137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37"/>
      <c r="N25" s="137"/>
      <c r="O25" s="137"/>
      <c r="P25" s="137"/>
      <c r="Q25" s="35"/>
      <c r="R25" s="35"/>
      <c r="S25" s="35"/>
      <c r="T25" s="35"/>
      <c r="U25" s="35"/>
      <c r="V25" s="35"/>
      <c r="W25" s="15"/>
    </row>
    <row r="26" spans="1:23" ht="15.75" thickBot="1" x14ac:dyDescent="0.3">
      <c r="A26" s="19" t="str">
        <f>Start!A26</f>
        <v>Antragsvorprüfung</v>
      </c>
      <c r="B26" s="134">
        <f>Start!B26</f>
        <v>1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21">
        <f t="shared" ref="Q26:Q28" si="23">C26+E26+G26+I26+K26+M26+O26</f>
        <v>0</v>
      </c>
      <c r="R26" s="21">
        <f t="shared" ref="R26:R28" si="24">D26+F26+H26+J26+L26+N26+P26</f>
        <v>0</v>
      </c>
      <c r="S26" s="22">
        <f t="shared" si="22"/>
        <v>1</v>
      </c>
      <c r="T26" s="22">
        <f t="shared" si="19"/>
        <v>0</v>
      </c>
      <c r="U26" s="22"/>
      <c r="V26" s="22"/>
      <c r="W26" s="23">
        <f t="shared" si="0"/>
        <v>0</v>
      </c>
    </row>
    <row r="27" spans="1:23" ht="15.75" thickBot="1" x14ac:dyDescent="0.3">
      <c r="A27" s="24" t="str">
        <f>Start!A27</f>
        <v>LV TAZ</v>
      </c>
      <c r="B27" s="135">
        <f>Start!B27</f>
        <v>48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26">
        <f t="shared" si="23"/>
        <v>0</v>
      </c>
      <c r="R27" s="26">
        <f t="shared" si="24"/>
        <v>0</v>
      </c>
      <c r="S27" s="27">
        <f t="shared" si="22"/>
        <v>48</v>
      </c>
      <c r="T27" s="27">
        <f t="shared" si="19"/>
        <v>0</v>
      </c>
      <c r="U27" s="27"/>
      <c r="V27" s="27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6">
        <f>Start!B28</f>
        <v>7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31">
        <f t="shared" si="23"/>
        <v>0</v>
      </c>
      <c r="R28" s="31">
        <f t="shared" si="24"/>
        <v>0</v>
      </c>
      <c r="S28" s="32">
        <f t="shared" si="22"/>
        <v>7</v>
      </c>
      <c r="T28" s="32">
        <f t="shared" si="19"/>
        <v>0</v>
      </c>
      <c r="U28" s="32"/>
      <c r="V28" s="32"/>
      <c r="W28" s="33">
        <f t="shared" si="0"/>
        <v>0</v>
      </c>
    </row>
    <row r="29" spans="1:23" ht="7.35" customHeight="1" thickBot="1" x14ac:dyDescent="0.3">
      <c r="A29" s="5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39">
        <f>Start!B30</f>
        <v>0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43">
        <f t="shared" ref="Q30" si="25">C30+E30+G30+I30+K30+M30+O30</f>
        <v>0</v>
      </c>
      <c r="R30" s="43">
        <f t="shared" ref="R30" si="26">D30+F30+H30+J30+L30+N30+P30</f>
        <v>0</v>
      </c>
      <c r="S30" s="44">
        <f t="shared" si="22"/>
        <v>0</v>
      </c>
      <c r="T30" s="44">
        <f t="shared" si="19"/>
        <v>0</v>
      </c>
      <c r="U30" s="44"/>
      <c r="V30" s="44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P31" si="27">SUM(D20:D30)</f>
        <v>0</v>
      </c>
      <c r="E31" s="55">
        <f t="shared" si="27"/>
        <v>0</v>
      </c>
      <c r="F31" s="55">
        <f t="shared" si="27"/>
        <v>0</v>
      </c>
      <c r="G31" s="55">
        <f t="shared" si="27"/>
        <v>0</v>
      </c>
      <c r="H31" s="55">
        <f t="shared" si="27"/>
        <v>0</v>
      </c>
      <c r="I31" s="55">
        <f t="shared" si="27"/>
        <v>0</v>
      </c>
      <c r="J31" s="55">
        <f t="shared" si="27"/>
        <v>0</v>
      </c>
      <c r="K31" s="55">
        <f t="shared" si="27"/>
        <v>0</v>
      </c>
      <c r="L31" s="55">
        <f t="shared" si="27"/>
        <v>0</v>
      </c>
      <c r="M31" s="55">
        <f t="shared" si="27"/>
        <v>0</v>
      </c>
      <c r="N31" s="55">
        <f t="shared" si="27"/>
        <v>0</v>
      </c>
      <c r="O31" s="55">
        <f t="shared" si="27"/>
        <v>0</v>
      </c>
      <c r="P31" s="55">
        <f t="shared" si="27"/>
        <v>0</v>
      </c>
      <c r="Q31" s="55">
        <f t="shared" ref="Q31" si="28">SUM(Q20:Q30)</f>
        <v>0</v>
      </c>
      <c r="R31" s="55">
        <f t="shared" ref="R31" si="29">SUM(R20:R30)</f>
        <v>0</v>
      </c>
      <c r="S31" s="55">
        <f t="shared" ref="S31" si="30">SUM(S20:S30)</f>
        <v>56</v>
      </c>
      <c r="T31" s="55">
        <f t="shared" ref="T31" si="31">SUM(T20:T30)</f>
        <v>0</v>
      </c>
      <c r="U31" s="55"/>
      <c r="V31" s="55"/>
      <c r="W31" s="55"/>
    </row>
    <row r="32" spans="1:23" ht="15.75" thickBot="1" x14ac:dyDescent="0.3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W32" s="56"/>
    </row>
    <row r="33" spans="1:23" ht="15.75" thickBot="1" x14ac:dyDescent="0.3">
      <c r="A33" s="57" t="s">
        <v>18</v>
      </c>
      <c r="B33" s="58">
        <f>SUM(B22:B30)+B20+B18</f>
        <v>56</v>
      </c>
      <c r="C33" s="58">
        <f>SUM(C22:C30)+C20+C18</f>
        <v>0</v>
      </c>
      <c r="D33" s="58">
        <f t="shared" ref="D33:S33" si="32">SUM(D22:D30)+D20+D18</f>
        <v>0</v>
      </c>
      <c r="E33" s="58">
        <f t="shared" si="32"/>
        <v>0</v>
      </c>
      <c r="F33" s="58">
        <f t="shared" si="32"/>
        <v>0</v>
      </c>
      <c r="G33" s="58">
        <f t="shared" si="32"/>
        <v>0</v>
      </c>
      <c r="H33" s="58">
        <f t="shared" si="32"/>
        <v>0</v>
      </c>
      <c r="I33" s="58">
        <f t="shared" si="32"/>
        <v>0</v>
      </c>
      <c r="J33" s="58">
        <f t="shared" si="32"/>
        <v>0</v>
      </c>
      <c r="K33" s="58">
        <f t="shared" si="32"/>
        <v>0</v>
      </c>
      <c r="L33" s="58">
        <f t="shared" si="32"/>
        <v>0</v>
      </c>
      <c r="M33" s="58">
        <f t="shared" si="32"/>
        <v>0</v>
      </c>
      <c r="N33" s="58">
        <f t="shared" si="32"/>
        <v>0</v>
      </c>
      <c r="O33" s="58">
        <f t="shared" si="32"/>
        <v>0</v>
      </c>
      <c r="P33" s="58">
        <f t="shared" si="32"/>
        <v>0</v>
      </c>
      <c r="Q33" s="58">
        <f t="shared" si="32"/>
        <v>0</v>
      </c>
      <c r="R33" s="58">
        <f t="shared" si="32"/>
        <v>0</v>
      </c>
      <c r="S33" s="58">
        <f t="shared" si="32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B34" s="59"/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4">
        <f>Start!B35</f>
        <v>1496</v>
      </c>
      <c r="G35" s="6"/>
      <c r="P35" s="1" t="s">
        <v>107</v>
      </c>
      <c r="Q35" s="106"/>
      <c r="R35" s="107"/>
      <c r="S35" s="145">
        <f t="shared" ref="S35" si="33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34">R33+R35</f>
        <v>0</v>
      </c>
      <c r="S36" s="105">
        <f t="shared" si="34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D30">
    <cfRule type="expression" dxfId="1154" priority="19" stopIfTrue="1">
      <formula>AND(NOT(OR(ISBLANK($A5),$A5="Summe ")),$C$1="altes Jahr")</formula>
    </cfRule>
    <cfRule type="expression" dxfId="1153" priority="21" stopIfTrue="1">
      <formula>AND(NOT(OR(ISBLANK($A5),$A5="Summe ")),WEEKDAY($C$3,2)&gt;5)</formula>
    </cfRule>
  </conditionalFormatting>
  <conditionalFormatting sqref="E5:F30">
    <cfRule type="expression" dxfId="1152" priority="16" stopIfTrue="1">
      <formula>AND(NOT(OR(ISBLANK($A5),$A5="Summe ")),$E$1="altes Jahr")</formula>
    </cfRule>
    <cfRule type="expression" dxfId="1151" priority="18" stopIfTrue="1">
      <formula>AND(NOT(OR(ISBLANK($A5),$A5="Summe ")),WEEKDAY($E$3,2)&gt;5)</formula>
    </cfRule>
  </conditionalFormatting>
  <conditionalFormatting sqref="G5:H30">
    <cfRule type="expression" dxfId="1150" priority="13" stopIfTrue="1">
      <formula>AND(NOT(OR(ISBLANK($A5),$A5="Summe ")),$G$1="altes Jahr")</formula>
    </cfRule>
    <cfRule type="expression" dxfId="1149" priority="15" stopIfTrue="1">
      <formula>AND(NOT(OR(ISBLANK($A5),$A5="Summe ")),WEEKDAY($G$3,2)&gt;5)</formula>
    </cfRule>
  </conditionalFormatting>
  <conditionalFormatting sqref="I5:J30">
    <cfRule type="expression" dxfId="1148" priority="10" stopIfTrue="1">
      <formula>AND(NOT(OR(ISBLANK($A5),$A5="Summe ")),$I$1="altes Jahr")</formula>
    </cfRule>
    <cfRule type="expression" dxfId="1147" priority="12" stopIfTrue="1">
      <formula>AND(NOT(OR(ISBLANK($A5),$A5="Summe ")),WEEKDAY($I$3,2)&gt;5)</formula>
    </cfRule>
  </conditionalFormatting>
  <conditionalFormatting sqref="K5:L30">
    <cfRule type="expression" dxfId="1146" priority="7" stopIfTrue="1">
      <formula>AND(NOT(OR(ISBLANK($A5),$A5="Summe ")),$K$1="altes Jahr")</formula>
    </cfRule>
    <cfRule type="expression" dxfId="1145" priority="9" stopIfTrue="1">
      <formula>AND(NOT(OR(ISBLANK($A5),$A5="Summe ")),WEEKDAY($K$3,2)&gt;5)</formula>
    </cfRule>
  </conditionalFormatting>
  <conditionalFormatting sqref="M5:N30">
    <cfRule type="expression" dxfId="1144" priority="4" stopIfTrue="1">
      <formula>AND(NOT(OR(ISBLANK($A5),$A5="Summe ")),$M$1="altes Jahr")</formula>
    </cfRule>
    <cfRule type="expression" dxfId="1143" priority="6" stopIfTrue="1">
      <formula>AND(NOT(OR(ISBLANK($A5),$A5="Summe ")),WEEKDAY($M$3,2)&gt;5)</formula>
    </cfRule>
  </conditionalFormatting>
  <conditionalFormatting sqref="O5:P30">
    <cfRule type="expression" dxfId="1142" priority="1" stopIfTrue="1">
      <formula>AND(NOT(OR(ISBLANK($A5),$A5="Summe ")),$O$1="altes Jahr")</formula>
    </cfRule>
    <cfRule type="expression" dxfId="1141" priority="3" stopIfTrue="1">
      <formula>AND(NOT(OR(ISBLANK($A5),$A5="Summe ")),WEEKDAY($O$3,2)&gt;5)</formula>
    </cfRule>
  </conditionalFormatting>
  <pageMargins left="0.25" right="0.25" top="0.75" bottom="0.75" header="0.3" footer="0.3"/>
  <pageSetup paperSize="9" orientation="landscape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9A52C76B-3826-4B19-A0C5-2126965CC624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496DB4A7-B7FD-4E4A-B981-F1A1CB11D92A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5616BC49-B64D-40BF-9918-2E38A3591896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A93549F5-24B8-47F7-B71A-73417D875339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D607BABB-5F6B-444A-AB58-B3666837EAC7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CEFB6DC9-E3D5-410F-83CC-04A4370F739E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717061DD-F849-467D-87BE-6DEA058886FC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30"/>
  <dimension ref="A1:U37"/>
  <sheetViews>
    <sheetView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78" t="s">
        <v>20</v>
      </c>
      <c r="B3" s="182" t="s">
        <v>21</v>
      </c>
      <c r="C3" s="91">
        <f>'KW 1'!$C$3+182</f>
        <v>44382</v>
      </c>
      <c r="D3" s="92">
        <f>C3</f>
        <v>44382</v>
      </c>
      <c r="E3" s="91">
        <f>C3+1</f>
        <v>44383</v>
      </c>
      <c r="F3" s="92">
        <f>E3</f>
        <v>44383</v>
      </c>
      <c r="G3" s="91">
        <f>C3+2</f>
        <v>44384</v>
      </c>
      <c r="H3" s="92">
        <f>G3</f>
        <v>44384</v>
      </c>
      <c r="I3" s="91">
        <f>C3+3</f>
        <v>44385</v>
      </c>
      <c r="J3" s="92">
        <f>I3</f>
        <v>44385</v>
      </c>
      <c r="K3" s="91">
        <f>C3+4</f>
        <v>44386</v>
      </c>
      <c r="L3" s="92">
        <f>K3</f>
        <v>44386</v>
      </c>
      <c r="M3" s="91">
        <f>C3+5</f>
        <v>44387</v>
      </c>
      <c r="N3" s="92">
        <f>M3</f>
        <v>44387</v>
      </c>
      <c r="O3" s="91">
        <f>C3+6</f>
        <v>44388</v>
      </c>
      <c r="P3" s="92">
        <f>O3</f>
        <v>44388</v>
      </c>
      <c r="Q3" s="14" t="s">
        <v>0</v>
      </c>
      <c r="R3" s="15" t="s">
        <v>0</v>
      </c>
      <c r="S3" s="178" t="s">
        <v>1</v>
      </c>
      <c r="T3" s="178" t="s">
        <v>2</v>
      </c>
      <c r="U3" s="176" t="s">
        <v>4</v>
      </c>
    </row>
    <row r="4" spans="1:21" ht="15.75" thickBot="1" x14ac:dyDescent="0.3">
      <c r="A4" s="179"/>
      <c r="B4" s="183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77"/>
    </row>
    <row r="5" spans="1:21" x14ac:dyDescent="0.25">
      <c r="A5" s="19" t="str">
        <f>Start!A5</f>
        <v>Postbearbeitung Bestand</v>
      </c>
      <c r="B5" s="134">
        <f>'KW 26'!S5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5">
        <f>'KW 26'!S6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6">
        <f>'KW 26'!S7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5">
        <f>'KW 26'!S9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5">
        <f>'KW 26'!S10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5">
        <f>'KW 26'!S11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5">
        <f>'KW 26'!S12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5">
        <f>'KW 26'!S14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5">
        <f>'KW 26'!S15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5">
        <f>'KW 26'!S17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39">
        <f>'KW 26'!S20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4">
        <f>'KW 26'!S22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5">
        <f>'KW 26'!S23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6">
        <f>'KW 26'!S24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4">
        <f>'KW 26'!S26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5">
        <f>'KW 26'!S27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6">
        <f>'KW 26'!S28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39">
        <f>'KW 26'!S30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4">
        <f>'KW 26'!S35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mergeCells count="5">
    <mergeCell ref="U3:U4"/>
    <mergeCell ref="A3:A4"/>
    <mergeCell ref="B3:B4"/>
    <mergeCell ref="S3:S4"/>
    <mergeCell ref="T3:T4"/>
  </mergeCells>
  <conditionalFormatting sqref="C5:D30">
    <cfRule type="expression" dxfId="587" priority="19" stopIfTrue="1">
      <formula>AND(NOT(OR(ISBLANK($A5),$A5="Summe ")),$C$1="altes Jahr")</formula>
    </cfRule>
    <cfRule type="expression" dxfId="586" priority="21" stopIfTrue="1">
      <formula>AND(NOT(OR(ISBLANK($A5),$A5="Summe ")),WEEKDAY($C$3,2)&gt;5)</formula>
    </cfRule>
  </conditionalFormatting>
  <conditionalFormatting sqref="E5:F30">
    <cfRule type="expression" dxfId="585" priority="16" stopIfTrue="1">
      <formula>AND(NOT(OR(ISBLANK($A5),$A5="Summe ")),$E$1="altes Jahr")</formula>
    </cfRule>
    <cfRule type="expression" dxfId="584" priority="18" stopIfTrue="1">
      <formula>AND(NOT(OR(ISBLANK($A5),$A5="Summe ")),WEEKDAY($E$3,2)&gt;5)</formula>
    </cfRule>
  </conditionalFormatting>
  <conditionalFormatting sqref="G5:H30">
    <cfRule type="expression" dxfId="583" priority="13" stopIfTrue="1">
      <formula>AND(NOT(OR(ISBLANK($A5),$A5="Summe ")),$G$1="altes Jahr")</formula>
    </cfRule>
    <cfRule type="expression" dxfId="582" priority="15" stopIfTrue="1">
      <formula>AND(NOT(OR(ISBLANK($A5),$A5="Summe ")),WEEKDAY($G$3,2)&gt;5)</formula>
    </cfRule>
  </conditionalFormatting>
  <conditionalFormatting sqref="I5:J30">
    <cfRule type="expression" dxfId="581" priority="10" stopIfTrue="1">
      <formula>AND(NOT(OR(ISBLANK($A5),$A5="Summe ")),$I$1="altes Jahr")</formula>
    </cfRule>
    <cfRule type="expression" dxfId="580" priority="12" stopIfTrue="1">
      <formula>AND(NOT(OR(ISBLANK($A5),$A5="Summe ")),WEEKDAY($I$3,2)&gt;5)</formula>
    </cfRule>
  </conditionalFormatting>
  <conditionalFormatting sqref="K5:L30">
    <cfRule type="expression" dxfId="579" priority="7" stopIfTrue="1">
      <formula>AND(NOT(OR(ISBLANK($A5),$A5="Summe ")),$K$1="altes Jahr")</formula>
    </cfRule>
    <cfRule type="expression" dxfId="578" priority="9" stopIfTrue="1">
      <formula>AND(NOT(OR(ISBLANK($A5),$A5="Summe ")),WEEKDAY($K$3,2)&gt;5)</formula>
    </cfRule>
  </conditionalFormatting>
  <conditionalFormatting sqref="M5:N30">
    <cfRule type="expression" dxfId="577" priority="4" stopIfTrue="1">
      <formula>AND(NOT(OR(ISBLANK($A5),$A5="Summe ")),$M$1="altes Jahr")</formula>
    </cfRule>
    <cfRule type="expression" dxfId="576" priority="6" stopIfTrue="1">
      <formula>AND(NOT(OR(ISBLANK($A5),$A5="Summe ")),WEEKDAY($M$3,2)&gt;5)</formula>
    </cfRule>
  </conditionalFormatting>
  <conditionalFormatting sqref="O5:P30">
    <cfRule type="expression" dxfId="575" priority="1" stopIfTrue="1">
      <formula>AND(NOT(OR(ISBLANK($A5),$A5="Summe ")),$O$1="altes Jahr")</formula>
    </cfRule>
    <cfRule type="expression" dxfId="574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68921517-106C-4586-8D55-6440FEC2C429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B784B5C5-F181-4ECA-871E-45AC34250F8E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61F5E090-5066-4014-BA4B-CD0E7B12C730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404984D2-7149-45A6-B134-80033BA3A467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E6A3657E-AF84-4A57-AC80-D8674ACC33CD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9D82716F-707F-4FFC-9D49-CA9217DD43D9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A0B43669-0F19-46E4-8B37-54A92470FEB1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31"/>
  <dimension ref="A1:U37"/>
  <sheetViews>
    <sheetView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78" t="s">
        <v>20</v>
      </c>
      <c r="B3" s="182" t="s">
        <v>21</v>
      </c>
      <c r="C3" s="91">
        <f>'KW 1'!$C$3+189</f>
        <v>44389</v>
      </c>
      <c r="D3" s="92">
        <f>C3</f>
        <v>44389</v>
      </c>
      <c r="E3" s="91">
        <f>C3+1</f>
        <v>44390</v>
      </c>
      <c r="F3" s="92">
        <f>E3</f>
        <v>44390</v>
      </c>
      <c r="G3" s="91">
        <f>C3+2</f>
        <v>44391</v>
      </c>
      <c r="H3" s="92">
        <f>G3</f>
        <v>44391</v>
      </c>
      <c r="I3" s="91">
        <f>C3+3</f>
        <v>44392</v>
      </c>
      <c r="J3" s="92">
        <f>I3</f>
        <v>44392</v>
      </c>
      <c r="K3" s="91">
        <f>C3+4</f>
        <v>44393</v>
      </c>
      <c r="L3" s="92">
        <f>K3</f>
        <v>44393</v>
      </c>
      <c r="M3" s="91">
        <f>C3+5</f>
        <v>44394</v>
      </c>
      <c r="N3" s="92">
        <f>M3</f>
        <v>44394</v>
      </c>
      <c r="O3" s="91">
        <f>C3+6</f>
        <v>44395</v>
      </c>
      <c r="P3" s="92">
        <f>O3</f>
        <v>44395</v>
      </c>
      <c r="Q3" s="14" t="s">
        <v>0</v>
      </c>
      <c r="R3" s="15" t="s">
        <v>0</v>
      </c>
      <c r="S3" s="178" t="s">
        <v>1</v>
      </c>
      <c r="T3" s="178" t="s">
        <v>2</v>
      </c>
      <c r="U3" s="176" t="s">
        <v>4</v>
      </c>
    </row>
    <row r="4" spans="1:21" ht="15.75" thickBot="1" x14ac:dyDescent="0.3">
      <c r="A4" s="179"/>
      <c r="B4" s="183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77"/>
    </row>
    <row r="5" spans="1:21" x14ac:dyDescent="0.25">
      <c r="A5" s="19" t="str">
        <f>Start!A5</f>
        <v>Postbearbeitung Bestand</v>
      </c>
      <c r="B5" s="134">
        <f>'KW 27'!S5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5">
        <f>'KW 27'!S6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6">
        <f>'KW 27'!S7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5">
        <f>'KW 27'!S9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5">
        <f>'KW 27'!S10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5">
        <f>'KW 27'!S11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5">
        <f>'KW 27'!S12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5">
        <f>'KW 27'!S14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5">
        <f>'KW 27'!S15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5">
        <f>'KW 27'!S17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39">
        <f>'KW 27'!S20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32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4">
        <f>'KW 27'!S22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5">
        <f>'KW 27'!S23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6">
        <f>'KW 27'!S24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4">
        <f>'KW 27'!S26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5">
        <f>'KW 27'!S27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6">
        <f>'KW 27'!S28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39">
        <f>'KW 27'!S30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4">
        <f>'KW 27'!S35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D30">
    <cfRule type="expression" dxfId="566" priority="19" stopIfTrue="1">
      <formula>AND(NOT(OR(ISBLANK($A5),$A5="Summe ")),$C$1="altes Jahr")</formula>
    </cfRule>
    <cfRule type="expression" dxfId="565" priority="21" stopIfTrue="1">
      <formula>AND(NOT(OR(ISBLANK($A5),$A5="Summe ")),WEEKDAY($C$3,2)&gt;5)</formula>
    </cfRule>
  </conditionalFormatting>
  <conditionalFormatting sqref="E5:F30">
    <cfRule type="expression" dxfId="564" priority="16" stopIfTrue="1">
      <formula>AND(NOT(OR(ISBLANK($A5),$A5="Summe ")),$E$1="altes Jahr")</formula>
    </cfRule>
    <cfRule type="expression" dxfId="563" priority="18" stopIfTrue="1">
      <formula>AND(NOT(OR(ISBLANK($A5),$A5="Summe ")),WEEKDAY($E$3,2)&gt;5)</formula>
    </cfRule>
  </conditionalFormatting>
  <conditionalFormatting sqref="G5:H30">
    <cfRule type="expression" dxfId="562" priority="13" stopIfTrue="1">
      <formula>AND(NOT(OR(ISBLANK($A5),$A5="Summe ")),$G$1="altes Jahr")</formula>
    </cfRule>
    <cfRule type="expression" dxfId="561" priority="15" stopIfTrue="1">
      <formula>AND(NOT(OR(ISBLANK($A5),$A5="Summe ")),WEEKDAY($G$3,2)&gt;5)</formula>
    </cfRule>
  </conditionalFormatting>
  <conditionalFormatting sqref="I5:J30">
    <cfRule type="expression" dxfId="560" priority="10" stopIfTrue="1">
      <formula>AND(NOT(OR(ISBLANK($A5),$A5="Summe ")),$I$1="altes Jahr")</formula>
    </cfRule>
    <cfRule type="expression" dxfId="559" priority="12" stopIfTrue="1">
      <formula>AND(NOT(OR(ISBLANK($A5),$A5="Summe ")),WEEKDAY($I$3,2)&gt;5)</formula>
    </cfRule>
  </conditionalFormatting>
  <conditionalFormatting sqref="K5:L30">
    <cfRule type="expression" dxfId="558" priority="7" stopIfTrue="1">
      <formula>AND(NOT(OR(ISBLANK($A5),$A5="Summe ")),$K$1="altes Jahr")</formula>
    </cfRule>
    <cfRule type="expression" dxfId="557" priority="9" stopIfTrue="1">
      <formula>AND(NOT(OR(ISBLANK($A5),$A5="Summe ")),WEEKDAY($K$3,2)&gt;5)</formula>
    </cfRule>
  </conditionalFormatting>
  <conditionalFormatting sqref="M5:N30">
    <cfRule type="expression" dxfId="556" priority="4" stopIfTrue="1">
      <formula>AND(NOT(OR(ISBLANK($A5),$A5="Summe ")),$M$1="altes Jahr")</formula>
    </cfRule>
    <cfRule type="expression" dxfId="555" priority="6" stopIfTrue="1">
      <formula>AND(NOT(OR(ISBLANK($A5),$A5="Summe ")),WEEKDAY($M$3,2)&gt;5)</formula>
    </cfRule>
  </conditionalFormatting>
  <conditionalFormatting sqref="O5:P30">
    <cfRule type="expression" dxfId="554" priority="1" stopIfTrue="1">
      <formula>AND(NOT(OR(ISBLANK($A5),$A5="Summe ")),$O$1="altes Jahr")</formula>
    </cfRule>
    <cfRule type="expression" dxfId="553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E69A8C2C-7BF9-4639-A20E-134AE9B46916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72791489-77AD-49A1-AD52-84BEBCCC95C7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4081BEB9-E91B-401C-A3D6-9B01B6D0D4B2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7E69D687-374B-4205-BF3A-181C9E66D6DD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81CBFC7E-97B8-456C-AF82-D806C25A2467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D26E3BA2-EFFD-4D8A-B32C-F4E2A5000E62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001AF5A5-1F8E-4FF5-BE17-512CE5FDA629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32"/>
  <dimension ref="A1:U37"/>
  <sheetViews>
    <sheetView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1" style="2" customWidth="1"/>
    <col min="17" max="18" width="9.7109375" style="2" customWidth="1"/>
    <col min="19" max="16384" width="10.5703125" style="2"/>
  </cols>
  <sheetData>
    <row r="1" spans="1:21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78" t="s">
        <v>20</v>
      </c>
      <c r="B3" s="182" t="s">
        <v>21</v>
      </c>
      <c r="C3" s="91">
        <f>'KW 1'!$C$3+196</f>
        <v>44396</v>
      </c>
      <c r="D3" s="92">
        <f>C3</f>
        <v>44396</v>
      </c>
      <c r="E3" s="91">
        <f>C3+1</f>
        <v>44397</v>
      </c>
      <c r="F3" s="92">
        <f>E3</f>
        <v>44397</v>
      </c>
      <c r="G3" s="91">
        <f>C3+2</f>
        <v>44398</v>
      </c>
      <c r="H3" s="92">
        <f>G3</f>
        <v>44398</v>
      </c>
      <c r="I3" s="91">
        <f>C3+3</f>
        <v>44399</v>
      </c>
      <c r="J3" s="92">
        <f>I3</f>
        <v>44399</v>
      </c>
      <c r="K3" s="91">
        <f>C3+4</f>
        <v>44400</v>
      </c>
      <c r="L3" s="92">
        <f>K3</f>
        <v>44400</v>
      </c>
      <c r="M3" s="91">
        <f>C3+5</f>
        <v>44401</v>
      </c>
      <c r="N3" s="92">
        <f>M3</f>
        <v>44401</v>
      </c>
      <c r="O3" s="91">
        <f>C3+6</f>
        <v>44402</v>
      </c>
      <c r="P3" s="92">
        <f>O3</f>
        <v>44402</v>
      </c>
      <c r="Q3" s="14" t="s">
        <v>0</v>
      </c>
      <c r="R3" s="15" t="s">
        <v>0</v>
      </c>
      <c r="S3" s="178" t="s">
        <v>1</v>
      </c>
      <c r="T3" s="178" t="s">
        <v>2</v>
      </c>
      <c r="U3" s="176" t="s">
        <v>4</v>
      </c>
    </row>
    <row r="4" spans="1:21" ht="15.75" thickBot="1" x14ac:dyDescent="0.3">
      <c r="A4" s="179"/>
      <c r="B4" s="183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77"/>
    </row>
    <row r="5" spans="1:21" x14ac:dyDescent="0.25">
      <c r="A5" s="19" t="str">
        <f>Start!A5</f>
        <v>Postbearbeitung Bestand</v>
      </c>
      <c r="B5" s="134">
        <f>'KW 28'!S5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5">
        <f>'KW 28'!S6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6">
        <f>'KW 28'!S7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5">
        <f>'KW 28'!S9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5">
        <f>'KW 28'!S10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5">
        <f>'KW 28'!S11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5">
        <f>'KW 28'!S12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5">
        <f>'KW 28'!S14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5">
        <f>'KW 28'!S15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5">
        <f>'KW 28'!S17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39">
        <f>'KW 28'!S20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4">
        <f>'KW 28'!S22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5">
        <f>'KW 28'!S23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6">
        <f>'KW 28'!S24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4">
        <f>'KW 28'!S26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5">
        <f>'KW 28'!S27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6">
        <f>'KW 28'!S28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39">
        <f>'KW 28'!S30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4">
        <f>'KW 28'!S35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D30">
    <cfRule type="expression" dxfId="545" priority="19" stopIfTrue="1">
      <formula>AND(NOT(OR(ISBLANK($A5),$A5="Summe ")),$C$1="altes Jahr")</formula>
    </cfRule>
    <cfRule type="expression" dxfId="544" priority="21" stopIfTrue="1">
      <formula>AND(NOT(OR(ISBLANK($A5),$A5="Summe ")),WEEKDAY($C$3,2)&gt;5)</formula>
    </cfRule>
  </conditionalFormatting>
  <conditionalFormatting sqref="E5:F30">
    <cfRule type="expression" dxfId="543" priority="16" stopIfTrue="1">
      <formula>AND(NOT(OR(ISBLANK($A5),$A5="Summe ")),$E$1="altes Jahr")</formula>
    </cfRule>
    <cfRule type="expression" dxfId="542" priority="18" stopIfTrue="1">
      <formula>AND(NOT(OR(ISBLANK($A5),$A5="Summe ")),WEEKDAY($E$3,2)&gt;5)</formula>
    </cfRule>
  </conditionalFormatting>
  <conditionalFormatting sqref="G5:H30">
    <cfRule type="expression" dxfId="541" priority="13" stopIfTrue="1">
      <formula>AND(NOT(OR(ISBLANK($A5),$A5="Summe ")),$G$1="altes Jahr")</formula>
    </cfRule>
    <cfRule type="expression" dxfId="540" priority="15" stopIfTrue="1">
      <formula>AND(NOT(OR(ISBLANK($A5),$A5="Summe ")),WEEKDAY($G$3,2)&gt;5)</formula>
    </cfRule>
  </conditionalFormatting>
  <conditionalFormatting sqref="I5:J30">
    <cfRule type="expression" dxfId="539" priority="10" stopIfTrue="1">
      <formula>AND(NOT(OR(ISBLANK($A5),$A5="Summe ")),$I$1="altes Jahr")</formula>
    </cfRule>
    <cfRule type="expression" dxfId="538" priority="12" stopIfTrue="1">
      <formula>AND(NOT(OR(ISBLANK($A5),$A5="Summe ")),WEEKDAY($I$3,2)&gt;5)</formula>
    </cfRule>
  </conditionalFormatting>
  <conditionalFormatting sqref="K5:L30">
    <cfRule type="expression" dxfId="537" priority="7" stopIfTrue="1">
      <formula>AND(NOT(OR(ISBLANK($A5),$A5="Summe ")),$K$1="altes Jahr")</formula>
    </cfRule>
    <cfRule type="expression" dxfId="536" priority="9" stopIfTrue="1">
      <formula>AND(NOT(OR(ISBLANK($A5),$A5="Summe ")),WEEKDAY($K$3,2)&gt;5)</formula>
    </cfRule>
  </conditionalFormatting>
  <conditionalFormatting sqref="M5:N30">
    <cfRule type="expression" dxfId="535" priority="4" stopIfTrue="1">
      <formula>AND(NOT(OR(ISBLANK($A5),$A5="Summe ")),$M$1="altes Jahr")</formula>
    </cfRule>
    <cfRule type="expression" dxfId="534" priority="6" stopIfTrue="1">
      <formula>AND(NOT(OR(ISBLANK($A5),$A5="Summe ")),WEEKDAY($M$3,2)&gt;5)</formula>
    </cfRule>
  </conditionalFormatting>
  <conditionalFormatting sqref="O5:P30">
    <cfRule type="expression" dxfId="533" priority="1" stopIfTrue="1">
      <formula>AND(NOT(OR(ISBLANK($A5),$A5="Summe ")),$O$1="altes Jahr")</formula>
    </cfRule>
    <cfRule type="expression" dxfId="532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510DA651-51B1-4D67-BECA-96FC2C93A058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F312F024-9F04-48FD-B567-18FAD586139C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FC0F4F90-1105-4B18-8888-B387B8050963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27B4C64E-FBD6-44D3-A3C3-6BB3894CC3AA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78FA6664-2687-4F21-8F97-3DD1F244E973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BB48115D-D791-470D-B320-453755C2CCD5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9F96A617-124F-4F4A-8413-986814AA089D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33"/>
  <dimension ref="A1:U37"/>
  <sheetViews>
    <sheetView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78" t="s">
        <v>20</v>
      </c>
      <c r="B3" s="182" t="s">
        <v>21</v>
      </c>
      <c r="C3" s="91">
        <f>'KW 1'!$C$3+203</f>
        <v>44403</v>
      </c>
      <c r="D3" s="92">
        <f>C3</f>
        <v>44403</v>
      </c>
      <c r="E3" s="91">
        <f>C3+1</f>
        <v>44404</v>
      </c>
      <c r="F3" s="92">
        <f>E3</f>
        <v>44404</v>
      </c>
      <c r="G3" s="91">
        <f>C3+2</f>
        <v>44405</v>
      </c>
      <c r="H3" s="92">
        <f>G3</f>
        <v>44405</v>
      </c>
      <c r="I3" s="91">
        <f>C3+3</f>
        <v>44406</v>
      </c>
      <c r="J3" s="92">
        <f>I3</f>
        <v>44406</v>
      </c>
      <c r="K3" s="91">
        <f>C3+4</f>
        <v>44407</v>
      </c>
      <c r="L3" s="92">
        <f>K3</f>
        <v>44407</v>
      </c>
      <c r="M3" s="91">
        <f>C3+5</f>
        <v>44408</v>
      </c>
      <c r="N3" s="92">
        <f>M3</f>
        <v>44408</v>
      </c>
      <c r="O3" s="91">
        <f>C3+6</f>
        <v>44409</v>
      </c>
      <c r="P3" s="92">
        <f>O3</f>
        <v>44409</v>
      </c>
      <c r="Q3" s="14" t="s">
        <v>0</v>
      </c>
      <c r="R3" s="15" t="s">
        <v>0</v>
      </c>
      <c r="S3" s="178" t="s">
        <v>1</v>
      </c>
      <c r="T3" s="178" t="s">
        <v>2</v>
      </c>
      <c r="U3" s="176" t="s">
        <v>4</v>
      </c>
    </row>
    <row r="4" spans="1:21" ht="15.75" thickBot="1" x14ac:dyDescent="0.3">
      <c r="A4" s="179"/>
      <c r="B4" s="183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77"/>
    </row>
    <row r="5" spans="1:21" x14ac:dyDescent="0.25">
      <c r="A5" s="19" t="str">
        <f>Start!A5</f>
        <v>Postbearbeitung Bestand</v>
      </c>
      <c r="B5" s="134">
        <f>'KW 29'!S5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 t="shared" ref="Q5:R7" si="0">C5+E5+G5+I5+K5+M5+O5</f>
        <v>0</v>
      </c>
      <c r="R5" s="21">
        <f t="shared" si="0"/>
        <v>0</v>
      </c>
      <c r="S5" s="22">
        <f>B5+Q5-R5</f>
        <v>0</v>
      </c>
      <c r="T5" s="22">
        <f>R5/5</f>
        <v>0</v>
      </c>
      <c r="U5" s="23">
        <f t="shared" ref="U5:U30" si="1">Q5/5</f>
        <v>0</v>
      </c>
    </row>
    <row r="6" spans="1:21" x14ac:dyDescent="0.25">
      <c r="A6" s="24" t="str">
        <f>Start!A6</f>
        <v>Mailbox</v>
      </c>
      <c r="B6" s="135">
        <f>'KW 29'!S6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si="0"/>
        <v>0</v>
      </c>
      <c r="R6" s="26">
        <f t="shared" si="0"/>
        <v>0</v>
      </c>
      <c r="S6" s="27">
        <f>B6+Q6-R6</f>
        <v>0</v>
      </c>
      <c r="T6" s="27">
        <f t="shared" ref="T6:T7" si="2">R6/5</f>
        <v>0</v>
      </c>
      <c r="U6" s="28">
        <f t="shared" si="1"/>
        <v>0</v>
      </c>
    </row>
    <row r="7" spans="1:21" ht="15.75" thickBot="1" x14ac:dyDescent="0.3">
      <c r="A7" s="29" t="str">
        <f>Start!A7</f>
        <v>Eilige</v>
      </c>
      <c r="B7" s="136">
        <f>'KW 29'!S7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0"/>
        <v>0</v>
      </c>
      <c r="R7" s="31">
        <f t="shared" si="0"/>
        <v>0</v>
      </c>
      <c r="S7" s="32">
        <f>B7+Q7-R7</f>
        <v>0</v>
      </c>
      <c r="T7" s="32">
        <f t="shared" si="2"/>
        <v>0</v>
      </c>
      <c r="U7" s="33">
        <f t="shared" si="1"/>
        <v>0</v>
      </c>
    </row>
    <row r="8" spans="1:21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5">
        <f>'KW 29'!S9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3">C9+E9+G9+I9+K9+M9+O9</f>
        <v>0</v>
      </c>
      <c r="R9" s="21">
        <f t="shared" si="3"/>
        <v>0</v>
      </c>
      <c r="S9" s="22">
        <f>B9+Q9-R9</f>
        <v>0</v>
      </c>
      <c r="T9" s="22">
        <f t="shared" ref="T9:T17" si="4">R9/5</f>
        <v>0</v>
      </c>
      <c r="U9" s="23">
        <f t="shared" si="1"/>
        <v>0</v>
      </c>
    </row>
    <row r="10" spans="1:21" x14ac:dyDescent="0.25">
      <c r="A10" s="24" t="str">
        <f>Start!A10</f>
        <v xml:space="preserve">   Buchungen</v>
      </c>
      <c r="B10" s="135">
        <f>'KW 29'!S10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3"/>
        <v>0</v>
      </c>
      <c r="R10" s="26">
        <f t="shared" si="3"/>
        <v>0</v>
      </c>
      <c r="S10" s="27">
        <f>B10+Q10-R10</f>
        <v>0</v>
      </c>
      <c r="T10" s="27">
        <f t="shared" si="4"/>
        <v>0</v>
      </c>
      <c r="U10" s="28">
        <f t="shared" si="1"/>
        <v>0</v>
      </c>
    </row>
    <row r="11" spans="1:21" x14ac:dyDescent="0.25">
      <c r="A11" s="24" t="str">
        <f>Start!A11</f>
        <v>SB (Mietavale/StK)</v>
      </c>
      <c r="B11" s="135">
        <f>'KW 29'!S11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3"/>
        <v>0</v>
      </c>
      <c r="R11" s="26">
        <f t="shared" si="3"/>
        <v>0</v>
      </c>
      <c r="S11" s="27">
        <f>B11+Q11-R11</f>
        <v>2</v>
      </c>
      <c r="T11" s="27">
        <f t="shared" si="4"/>
        <v>0</v>
      </c>
      <c r="U11" s="28">
        <f t="shared" si="1"/>
        <v>0</v>
      </c>
    </row>
    <row r="12" spans="1:21" ht="15" customHeight="1" thickBot="1" x14ac:dyDescent="0.3">
      <c r="A12" s="29" t="str">
        <f>Start!A12</f>
        <v>neue Mietavale</v>
      </c>
      <c r="B12" s="135">
        <f>'KW 29'!S12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3"/>
        <v>0</v>
      </c>
      <c r="R12" s="31">
        <f t="shared" si="3"/>
        <v>0</v>
      </c>
      <c r="S12" s="32">
        <f>B12+Q12-R12</f>
        <v>0</v>
      </c>
      <c r="T12" s="32">
        <f t="shared" si="4"/>
        <v>0</v>
      </c>
      <c r="U12" s="33">
        <f t="shared" si="1"/>
        <v>0</v>
      </c>
    </row>
    <row r="13" spans="1:21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5">
        <f>'KW 29'!S14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5">C14+E14+G14+I14+K14+M14+O14</f>
        <v>0</v>
      </c>
      <c r="R14" s="21">
        <f t="shared" si="5"/>
        <v>0</v>
      </c>
      <c r="S14" s="22">
        <f>B14+Q14-R14</f>
        <v>0</v>
      </c>
      <c r="T14" s="22">
        <f t="shared" si="4"/>
        <v>0</v>
      </c>
      <c r="U14" s="23">
        <f t="shared" si="1"/>
        <v>0</v>
      </c>
    </row>
    <row r="15" spans="1:21" ht="15.75" thickBot="1" x14ac:dyDescent="0.3">
      <c r="A15" s="29" t="str">
        <f>Start!A15</f>
        <v>Einfachaufträge</v>
      </c>
      <c r="B15" s="135">
        <f>'KW 29'!S15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5"/>
        <v>0</v>
      </c>
      <c r="R15" s="31">
        <f t="shared" si="5"/>
        <v>0</v>
      </c>
      <c r="S15" s="32">
        <f>B15+Q15-R15</f>
        <v>0</v>
      </c>
      <c r="T15" s="32">
        <f t="shared" si="4"/>
        <v>0</v>
      </c>
      <c r="U15" s="33">
        <f t="shared" si="1"/>
        <v>0</v>
      </c>
    </row>
    <row r="16" spans="1:21" ht="7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5">
        <f>'KW 29'!S17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6">C17+E17+G17+I17+K17+M17+O17</f>
        <v>0</v>
      </c>
      <c r="R17" s="43">
        <f t="shared" si="6"/>
        <v>0</v>
      </c>
      <c r="S17" s="44">
        <f>B17+Q17-R17</f>
        <v>0</v>
      </c>
      <c r="T17" s="44">
        <f t="shared" si="4"/>
        <v>0</v>
      </c>
      <c r="U17" s="46">
        <f t="shared" si="1"/>
        <v>0</v>
      </c>
    </row>
    <row r="18" spans="1:21" ht="15.75" thickBot="1" x14ac:dyDescent="0.3">
      <c r="A18" s="47" t="s">
        <v>13</v>
      </c>
      <c r="B18" s="48">
        <f t="shared" ref="B18:L18" si="7">SUM(B5:B17)</f>
        <v>2</v>
      </c>
      <c r="C18" s="48">
        <f t="shared" si="7"/>
        <v>0</v>
      </c>
      <c r="D18" s="48">
        <f t="shared" si="7"/>
        <v>0</v>
      </c>
      <c r="E18" s="48">
        <f t="shared" si="7"/>
        <v>0</v>
      </c>
      <c r="F18" s="48">
        <f t="shared" si="7"/>
        <v>0</v>
      </c>
      <c r="G18" s="48">
        <f t="shared" si="7"/>
        <v>0</v>
      </c>
      <c r="H18" s="48">
        <f t="shared" si="7"/>
        <v>0</v>
      </c>
      <c r="I18" s="48">
        <f t="shared" si="7"/>
        <v>0</v>
      </c>
      <c r="J18" s="48">
        <f t="shared" si="7"/>
        <v>0</v>
      </c>
      <c r="K18" s="48">
        <f t="shared" si="7"/>
        <v>0</v>
      </c>
      <c r="L18" s="48">
        <f t="shared" si="7"/>
        <v>0</v>
      </c>
      <c r="M18" s="48">
        <f t="shared" ref="M18:T18" si="8">SUM(M5:M17)</f>
        <v>0</v>
      </c>
      <c r="N18" s="48">
        <f t="shared" si="8"/>
        <v>0</v>
      </c>
      <c r="O18" s="48">
        <f t="shared" si="8"/>
        <v>0</v>
      </c>
      <c r="P18" s="48">
        <f t="shared" si="8"/>
        <v>0</v>
      </c>
      <c r="Q18" s="48">
        <f t="shared" si="8"/>
        <v>0</v>
      </c>
      <c r="R18" s="48">
        <f t="shared" si="8"/>
        <v>0</v>
      </c>
      <c r="S18" s="49">
        <f>SUM(S5:S17)</f>
        <v>2</v>
      </c>
      <c r="T18" s="49">
        <f t="shared" si="8"/>
        <v>0</v>
      </c>
      <c r="U18" s="49"/>
    </row>
    <row r="19" spans="1:21" ht="15.75" thickBot="1" x14ac:dyDescent="0.3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39">
        <f>'KW 29'!S20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9">C20+E20+G20+I20+K20+M20+O20</f>
        <v>0</v>
      </c>
      <c r="R20" s="43">
        <f t="shared" si="9"/>
        <v>0</v>
      </c>
      <c r="S20" s="44">
        <f>B20+Q20-R20</f>
        <v>0</v>
      </c>
      <c r="T20" s="44">
        <f t="shared" ref="T20:T30" si="10">R20/5</f>
        <v>0</v>
      </c>
      <c r="U20" s="46">
        <f t="shared" si="1"/>
        <v>0</v>
      </c>
    </row>
    <row r="21" spans="1:21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4">
        <f>'KW 29'!S22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1">C22+E22+G22+I22+K22+M22+O22</f>
        <v>0</v>
      </c>
      <c r="R22" s="21">
        <f t="shared" si="11"/>
        <v>0</v>
      </c>
      <c r="S22" s="22">
        <f>B22+Q22-R22</f>
        <v>0</v>
      </c>
      <c r="T22" s="22">
        <f t="shared" si="10"/>
        <v>0</v>
      </c>
      <c r="U22" s="23">
        <f t="shared" si="1"/>
        <v>0</v>
      </c>
    </row>
    <row r="23" spans="1:21" x14ac:dyDescent="0.25">
      <c r="A23" s="24" t="str">
        <f>Start!A23</f>
        <v>KCB Mailbox</v>
      </c>
      <c r="B23" s="135">
        <f>'KW 29'!S23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1"/>
        <v>0</v>
      </c>
      <c r="R23" s="26">
        <f t="shared" si="11"/>
        <v>0</v>
      </c>
      <c r="S23" s="27">
        <f>B23+Q23-R23</f>
        <v>0</v>
      </c>
      <c r="T23" s="27">
        <f t="shared" si="10"/>
        <v>0</v>
      </c>
      <c r="U23" s="28">
        <f t="shared" si="1"/>
        <v>0</v>
      </c>
    </row>
    <row r="24" spans="1:21" ht="15.75" thickBot="1" x14ac:dyDescent="0.3">
      <c r="A24" s="29" t="str">
        <f>Start!A24</f>
        <v>SNOW</v>
      </c>
      <c r="B24" s="136">
        <f>'KW 29'!S24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1"/>
        <v>0</v>
      </c>
      <c r="R24" s="31">
        <f t="shared" si="11"/>
        <v>0</v>
      </c>
      <c r="S24" s="32">
        <f t="shared" ref="S24:S30" si="12">B24+Q24-R24</f>
        <v>0</v>
      </c>
      <c r="T24" s="32">
        <f t="shared" si="10"/>
        <v>0</v>
      </c>
      <c r="U24" s="33">
        <f t="shared" si="1"/>
        <v>0</v>
      </c>
    </row>
    <row r="25" spans="1:21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4">
        <f>'KW 29'!S26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3">C26+E26+G26+I26+K26+M26+O26</f>
        <v>0</v>
      </c>
      <c r="R26" s="21">
        <f t="shared" si="13"/>
        <v>0</v>
      </c>
      <c r="S26" s="22">
        <f t="shared" si="12"/>
        <v>1</v>
      </c>
      <c r="T26" s="22">
        <f t="shared" si="10"/>
        <v>0</v>
      </c>
      <c r="U26" s="23">
        <f t="shared" si="1"/>
        <v>0</v>
      </c>
    </row>
    <row r="27" spans="1:21" x14ac:dyDescent="0.25">
      <c r="A27" s="24" t="str">
        <f>Start!A27</f>
        <v>LV TAZ</v>
      </c>
      <c r="B27" s="135">
        <f>'KW 29'!S27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3"/>
        <v>0</v>
      </c>
      <c r="R27" s="26">
        <f t="shared" si="13"/>
        <v>0</v>
      </c>
      <c r="S27" s="27">
        <f t="shared" si="12"/>
        <v>48</v>
      </c>
      <c r="T27" s="27">
        <f t="shared" si="10"/>
        <v>0</v>
      </c>
      <c r="U27" s="28">
        <f t="shared" si="1"/>
        <v>0</v>
      </c>
    </row>
    <row r="28" spans="1:21" ht="15.75" thickBot="1" x14ac:dyDescent="0.3">
      <c r="A28" s="29" t="str">
        <f>Start!A28</f>
        <v>WGV</v>
      </c>
      <c r="B28" s="136">
        <f>'KW 29'!S28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3"/>
        <v>0</v>
      </c>
      <c r="R28" s="31">
        <f t="shared" si="13"/>
        <v>0</v>
      </c>
      <c r="S28" s="32">
        <f t="shared" si="12"/>
        <v>7</v>
      </c>
      <c r="T28" s="32">
        <f t="shared" si="10"/>
        <v>0</v>
      </c>
      <c r="U28" s="33">
        <f t="shared" si="1"/>
        <v>0</v>
      </c>
    </row>
    <row r="29" spans="1:21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39">
        <f>'KW 29'!S30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4">C30+E30+G30+I30+K30+M30+O30</f>
        <v>0</v>
      </c>
      <c r="R30" s="43">
        <f t="shared" si="14"/>
        <v>0</v>
      </c>
      <c r="S30" s="44">
        <f t="shared" si="12"/>
        <v>0</v>
      </c>
      <c r="T30" s="44">
        <f t="shared" si="10"/>
        <v>0</v>
      </c>
      <c r="U30" s="46">
        <f t="shared" si="1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5">SUM(D20:D30)</f>
        <v>0</v>
      </c>
      <c r="E31" s="55">
        <f t="shared" si="15"/>
        <v>0</v>
      </c>
      <c r="F31" s="55">
        <f t="shared" si="15"/>
        <v>0</v>
      </c>
      <c r="G31" s="55">
        <f t="shared" si="15"/>
        <v>0</v>
      </c>
      <c r="H31" s="55">
        <f t="shared" si="15"/>
        <v>0</v>
      </c>
      <c r="I31" s="55">
        <f t="shared" si="15"/>
        <v>0</v>
      </c>
      <c r="J31" s="55">
        <f t="shared" si="15"/>
        <v>0</v>
      </c>
      <c r="K31" s="55">
        <f t="shared" si="15"/>
        <v>0</v>
      </c>
      <c r="L31" s="55">
        <f t="shared" si="15"/>
        <v>0</v>
      </c>
      <c r="M31" s="55">
        <f t="shared" si="15"/>
        <v>0</v>
      </c>
      <c r="N31" s="55">
        <f t="shared" si="15"/>
        <v>0</v>
      </c>
      <c r="O31" s="55">
        <f t="shared" si="15"/>
        <v>0</v>
      </c>
      <c r="P31" s="55">
        <f t="shared" si="15"/>
        <v>0</v>
      </c>
      <c r="Q31" s="55">
        <f t="shared" si="15"/>
        <v>0</v>
      </c>
      <c r="R31" s="55">
        <f t="shared" si="15"/>
        <v>0</v>
      </c>
      <c r="S31" s="55">
        <f t="shared" si="15"/>
        <v>56</v>
      </c>
      <c r="T31" s="55">
        <f t="shared" si="15"/>
        <v>0</v>
      </c>
      <c r="U31" s="55"/>
    </row>
    <row r="32" spans="1:21" ht="15.75" thickBot="1" x14ac:dyDescent="0.3"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R33" si="16">SUM(D22:D30)+D20+D18</f>
        <v>0</v>
      </c>
      <c r="E33" s="58">
        <f t="shared" si="16"/>
        <v>0</v>
      </c>
      <c r="F33" s="58">
        <f t="shared" si="16"/>
        <v>0</v>
      </c>
      <c r="G33" s="58">
        <f t="shared" si="16"/>
        <v>0</v>
      </c>
      <c r="H33" s="58">
        <f t="shared" si="16"/>
        <v>0</v>
      </c>
      <c r="I33" s="58">
        <f t="shared" si="16"/>
        <v>0</v>
      </c>
      <c r="J33" s="58">
        <f t="shared" si="16"/>
        <v>0</v>
      </c>
      <c r="K33" s="58">
        <f t="shared" si="16"/>
        <v>0</v>
      </c>
      <c r="L33" s="58">
        <f t="shared" si="16"/>
        <v>0</v>
      </c>
      <c r="M33" s="58">
        <f t="shared" si="16"/>
        <v>0</v>
      </c>
      <c r="N33" s="58">
        <f t="shared" si="16"/>
        <v>0</v>
      </c>
      <c r="O33" s="58">
        <f t="shared" si="16"/>
        <v>0</v>
      </c>
      <c r="P33" s="58">
        <f t="shared" si="16"/>
        <v>0</v>
      </c>
      <c r="Q33" s="58">
        <f t="shared" si="16"/>
        <v>0</v>
      </c>
      <c r="R33" s="58">
        <f t="shared" si="16"/>
        <v>0</v>
      </c>
      <c r="S33" s="58">
        <f>SUM(S22:S30)+S20+S18</f>
        <v>58</v>
      </c>
      <c r="T33" s="57">
        <f>SUM(T22:T30)+T22+T18</f>
        <v>0</v>
      </c>
      <c r="U33" s="57"/>
    </row>
    <row r="34" spans="1:21" ht="15.75" thickBot="1" x14ac:dyDescent="0.3"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4">
        <f>'KW 29'!S35</f>
        <v>1496</v>
      </c>
      <c r="P35" s="1" t="s">
        <v>107</v>
      </c>
      <c r="Q35" s="106"/>
      <c r="R35" s="107"/>
      <c r="S35" s="145">
        <f t="shared" ref="S35" si="17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8">R33+R35</f>
        <v>0</v>
      </c>
      <c r="S36" s="105">
        <f t="shared" si="18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D30">
    <cfRule type="expression" dxfId="524" priority="19" stopIfTrue="1">
      <formula>AND(NOT(OR(ISBLANK($A5),$A5="Summe ")),$C$1="altes Jahr")</formula>
    </cfRule>
    <cfRule type="expression" dxfId="523" priority="21" stopIfTrue="1">
      <formula>AND(NOT(OR(ISBLANK($A5),$A5="Summe ")),WEEKDAY($C$3,2)&gt;5)</formula>
    </cfRule>
  </conditionalFormatting>
  <conditionalFormatting sqref="E5:F30">
    <cfRule type="expression" dxfId="522" priority="16" stopIfTrue="1">
      <formula>AND(NOT(OR(ISBLANK($A5),$A5="Summe ")),$E$1="altes Jahr")</formula>
    </cfRule>
    <cfRule type="expression" dxfId="521" priority="18" stopIfTrue="1">
      <formula>AND(NOT(OR(ISBLANK($A5),$A5="Summe ")),WEEKDAY($E$3,2)&gt;5)</formula>
    </cfRule>
  </conditionalFormatting>
  <conditionalFormatting sqref="G5:H30">
    <cfRule type="expression" dxfId="520" priority="13" stopIfTrue="1">
      <formula>AND(NOT(OR(ISBLANK($A5),$A5="Summe ")),$G$1="altes Jahr")</formula>
    </cfRule>
    <cfRule type="expression" dxfId="519" priority="15" stopIfTrue="1">
      <formula>AND(NOT(OR(ISBLANK($A5),$A5="Summe ")),WEEKDAY($G$3,2)&gt;5)</formula>
    </cfRule>
  </conditionalFormatting>
  <conditionalFormatting sqref="I5:J30">
    <cfRule type="expression" dxfId="518" priority="10" stopIfTrue="1">
      <formula>AND(NOT(OR(ISBLANK($A5),$A5="Summe ")),$I$1="altes Jahr")</formula>
    </cfRule>
    <cfRule type="expression" dxfId="517" priority="12" stopIfTrue="1">
      <formula>AND(NOT(OR(ISBLANK($A5),$A5="Summe ")),WEEKDAY($I$3,2)&gt;5)</formula>
    </cfRule>
  </conditionalFormatting>
  <conditionalFormatting sqref="K5:L30">
    <cfRule type="expression" dxfId="516" priority="7" stopIfTrue="1">
      <formula>AND(NOT(OR(ISBLANK($A5),$A5="Summe ")),$K$1="altes Jahr")</formula>
    </cfRule>
    <cfRule type="expression" dxfId="515" priority="9" stopIfTrue="1">
      <formula>AND(NOT(OR(ISBLANK($A5),$A5="Summe ")),WEEKDAY($K$3,2)&gt;5)</formula>
    </cfRule>
  </conditionalFormatting>
  <conditionalFormatting sqref="M5:N30">
    <cfRule type="expression" dxfId="514" priority="4" stopIfTrue="1">
      <formula>AND(NOT(OR(ISBLANK($A5),$A5="Summe ")),$M$1="altes Jahr")</formula>
    </cfRule>
    <cfRule type="expression" dxfId="513" priority="6" stopIfTrue="1">
      <formula>AND(NOT(OR(ISBLANK($A5),$A5="Summe ")),WEEKDAY($M$3,2)&gt;5)</formula>
    </cfRule>
  </conditionalFormatting>
  <conditionalFormatting sqref="O5:P30">
    <cfRule type="expression" dxfId="512" priority="1" stopIfTrue="1">
      <formula>AND(NOT(OR(ISBLANK($A5),$A5="Summe ")),$O$1="altes Jahr")</formula>
    </cfRule>
    <cfRule type="expression" dxfId="511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B8E9B08D-C02D-43B0-A5FD-4FCBE2D684DD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41826F3F-4193-4665-B82B-28107E740CD9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179C8D31-8E92-4C2C-8411-D7ADFB47A2E0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7BCDDA1B-ABD6-4430-AED9-23E483ED6D03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302817CC-3B89-463A-8C3C-7D53072BEBA3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F71B7F28-5295-4872-801A-5C354E5A0DC7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3F0DE1EE-D220-4BCC-A809-D08A3AAF87CD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Tabelle34"/>
  <dimension ref="A1:W37"/>
  <sheetViews>
    <sheetView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.75" thickBot="1" x14ac:dyDescent="0.3">
      <c r="A3" s="178" t="s">
        <v>20</v>
      </c>
      <c r="B3" s="182" t="s">
        <v>21</v>
      </c>
      <c r="C3" s="91">
        <f>'KW 1'!$C$3+210</f>
        <v>44410</v>
      </c>
      <c r="D3" s="92">
        <f>C3</f>
        <v>44410</v>
      </c>
      <c r="E3" s="91">
        <f>C3+1</f>
        <v>44411</v>
      </c>
      <c r="F3" s="92">
        <f>E3</f>
        <v>44411</v>
      </c>
      <c r="G3" s="91">
        <f>E3+1</f>
        <v>44412</v>
      </c>
      <c r="H3" s="92">
        <f>G3</f>
        <v>44412</v>
      </c>
      <c r="I3" s="91">
        <f>G3+1</f>
        <v>44413</v>
      </c>
      <c r="J3" s="92">
        <f>I3</f>
        <v>44413</v>
      </c>
      <c r="K3" s="91">
        <f>I3+1</f>
        <v>44414</v>
      </c>
      <c r="L3" s="92">
        <f>K3</f>
        <v>44414</v>
      </c>
      <c r="M3" s="91">
        <f>K3+1</f>
        <v>44415</v>
      </c>
      <c r="N3" s="92">
        <f>M3</f>
        <v>44415</v>
      </c>
      <c r="O3" s="91">
        <f>M3+1</f>
        <v>44416</v>
      </c>
      <c r="P3" s="92">
        <f>O3</f>
        <v>44416</v>
      </c>
      <c r="Q3" s="14" t="s">
        <v>0</v>
      </c>
      <c r="R3" s="15" t="s">
        <v>0</v>
      </c>
      <c r="S3" s="178" t="s">
        <v>1</v>
      </c>
      <c r="T3" s="178" t="s">
        <v>2</v>
      </c>
      <c r="U3" s="180" t="s">
        <v>3</v>
      </c>
      <c r="V3" s="176"/>
      <c r="W3" s="176" t="s">
        <v>4</v>
      </c>
    </row>
    <row r="4" spans="1:23" ht="15.75" thickBot="1" x14ac:dyDescent="0.3">
      <c r="A4" s="179"/>
      <c r="B4" s="183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81"/>
      <c r="V4" s="177"/>
      <c r="W4" s="177"/>
    </row>
    <row r="5" spans="1:23" x14ac:dyDescent="0.25">
      <c r="A5" s="19" t="str">
        <f>Start!A5</f>
        <v>Postbearbeitung Bestand</v>
      </c>
      <c r="B5" s="134">
        <f>'KW 30'!S5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5">
        <f>'KW 30'!S6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6">
        <f>'KW 30'!S7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5">
        <f>'KW 30'!S9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5">
        <f>'KW 30'!S10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5">
        <f>'KW 30'!S11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5">
        <f>'KW 30'!S12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5">
        <f>'KW 30'!S14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.75" thickBot="1" x14ac:dyDescent="0.3">
      <c r="A15" s="29" t="str">
        <f>Start!A15</f>
        <v>Einfachaufträge</v>
      </c>
      <c r="B15" s="135">
        <f>'KW 30'!S15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5">
        <f>'KW 30'!S17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39">
        <f>'KW 30'!S20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4">
        <f>'KW 30'!S22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5">
        <f>'KW 30'!S23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6">
        <f>'KW 30'!S24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4">
        <f>'KW 30'!S26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5">
        <f>'KW 30'!S27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6">
        <f>'KW 30'!S28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39">
        <f>'KW 30'!S30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4">
        <f>'KW 30'!S35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D30">
    <cfRule type="expression" dxfId="503" priority="19" stopIfTrue="1">
      <formula>AND(NOT(OR(ISBLANK($A5),$A5="Summe ")),$C$1="altes Jahr")</formula>
    </cfRule>
    <cfRule type="expression" dxfId="502" priority="21" stopIfTrue="1">
      <formula>AND(NOT(OR(ISBLANK($A5),$A5="Summe ")),WEEKDAY($C$3,2)&gt;5)</formula>
    </cfRule>
  </conditionalFormatting>
  <conditionalFormatting sqref="E5:F30">
    <cfRule type="expression" dxfId="501" priority="16" stopIfTrue="1">
      <formula>AND(NOT(OR(ISBLANK($A5),$A5="Summe ")),$E$1="altes Jahr")</formula>
    </cfRule>
    <cfRule type="expression" dxfId="500" priority="18" stopIfTrue="1">
      <formula>AND(NOT(OR(ISBLANK($A5),$A5="Summe ")),WEEKDAY($E$3,2)&gt;5)</formula>
    </cfRule>
  </conditionalFormatting>
  <conditionalFormatting sqref="G5:H30">
    <cfRule type="expression" dxfId="499" priority="13" stopIfTrue="1">
      <formula>AND(NOT(OR(ISBLANK($A5),$A5="Summe ")),$G$1="altes Jahr")</formula>
    </cfRule>
    <cfRule type="expression" dxfId="498" priority="15" stopIfTrue="1">
      <formula>AND(NOT(OR(ISBLANK($A5),$A5="Summe ")),WEEKDAY($G$3,2)&gt;5)</formula>
    </cfRule>
  </conditionalFormatting>
  <conditionalFormatting sqref="I5:J30">
    <cfRule type="expression" dxfId="497" priority="10" stopIfTrue="1">
      <formula>AND(NOT(OR(ISBLANK($A5),$A5="Summe ")),$I$1="altes Jahr")</formula>
    </cfRule>
    <cfRule type="expression" dxfId="496" priority="12" stopIfTrue="1">
      <formula>AND(NOT(OR(ISBLANK($A5),$A5="Summe ")),WEEKDAY($I$3,2)&gt;5)</formula>
    </cfRule>
  </conditionalFormatting>
  <conditionalFormatting sqref="K5:L30">
    <cfRule type="expression" dxfId="495" priority="7" stopIfTrue="1">
      <formula>AND(NOT(OR(ISBLANK($A5),$A5="Summe ")),$K$1="altes Jahr")</formula>
    </cfRule>
    <cfRule type="expression" dxfId="494" priority="9" stopIfTrue="1">
      <formula>AND(NOT(OR(ISBLANK($A5),$A5="Summe ")),WEEKDAY($K$3,2)&gt;5)</formula>
    </cfRule>
  </conditionalFormatting>
  <conditionalFormatting sqref="M5:N30">
    <cfRule type="expression" dxfId="493" priority="4" stopIfTrue="1">
      <formula>AND(NOT(OR(ISBLANK($A5),$A5="Summe ")),$M$1="altes Jahr")</formula>
    </cfRule>
    <cfRule type="expression" dxfId="492" priority="6" stopIfTrue="1">
      <formula>AND(NOT(OR(ISBLANK($A5),$A5="Summe ")),WEEKDAY($M$3,2)&gt;5)</formula>
    </cfRule>
  </conditionalFormatting>
  <conditionalFormatting sqref="O5:P30">
    <cfRule type="expression" dxfId="491" priority="1" stopIfTrue="1">
      <formula>AND(NOT(OR(ISBLANK($A5),$A5="Summe ")),$O$1="altes Jahr")</formula>
    </cfRule>
    <cfRule type="expression" dxfId="490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DC560B22-C4C5-4820-94FD-18AD7F4B95D3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D92E64C3-C5B9-4C69-B7A6-5A6EC84EC297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9B48D9A7-1675-4714-9A6A-D20AB8A0AD41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A62A86EC-0E16-4982-B898-A41C84771B4C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5F84CD77-75B1-416A-9426-C51D425841E1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D489C910-481C-4801-90AE-FD5764180904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6EE25A28-D5B6-4B54-853C-43A119CF70E8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Tabelle35"/>
  <dimension ref="A1:W37"/>
  <sheetViews>
    <sheetView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.75" thickBot="1" x14ac:dyDescent="0.3">
      <c r="A3" s="178" t="s">
        <v>20</v>
      </c>
      <c r="B3" s="182" t="s">
        <v>21</v>
      </c>
      <c r="C3" s="91">
        <f>'KW 1'!$C$3+217</f>
        <v>44417</v>
      </c>
      <c r="D3" s="92">
        <f>C3</f>
        <v>44417</v>
      </c>
      <c r="E3" s="91">
        <f>C3+1</f>
        <v>44418</v>
      </c>
      <c r="F3" s="92">
        <f>E3</f>
        <v>44418</v>
      </c>
      <c r="G3" s="91">
        <f>E3+1</f>
        <v>44419</v>
      </c>
      <c r="H3" s="92">
        <f>G3</f>
        <v>44419</v>
      </c>
      <c r="I3" s="91">
        <f>G3+1</f>
        <v>44420</v>
      </c>
      <c r="J3" s="92">
        <f>I3</f>
        <v>44420</v>
      </c>
      <c r="K3" s="91">
        <f>I3+1</f>
        <v>44421</v>
      </c>
      <c r="L3" s="92">
        <f>K3</f>
        <v>44421</v>
      </c>
      <c r="M3" s="91">
        <f>K3+1</f>
        <v>44422</v>
      </c>
      <c r="N3" s="92">
        <f>M3</f>
        <v>44422</v>
      </c>
      <c r="O3" s="91">
        <f>M3+1</f>
        <v>44423</v>
      </c>
      <c r="P3" s="92">
        <f>O3</f>
        <v>44423</v>
      </c>
      <c r="Q3" s="14" t="s">
        <v>0</v>
      </c>
      <c r="R3" s="15" t="s">
        <v>0</v>
      </c>
      <c r="S3" s="178" t="s">
        <v>1</v>
      </c>
      <c r="T3" s="178" t="s">
        <v>2</v>
      </c>
      <c r="U3" s="180" t="s">
        <v>3</v>
      </c>
      <c r="V3" s="176"/>
      <c r="W3" s="176" t="s">
        <v>4</v>
      </c>
    </row>
    <row r="4" spans="1:23" ht="15.75" thickBot="1" x14ac:dyDescent="0.3">
      <c r="A4" s="179"/>
      <c r="B4" s="183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81"/>
      <c r="V4" s="177"/>
      <c r="W4" s="177"/>
    </row>
    <row r="5" spans="1:23" x14ac:dyDescent="0.25">
      <c r="A5" s="19" t="str">
        <f>Start!A5</f>
        <v>Postbearbeitung Bestand</v>
      </c>
      <c r="B5" s="134">
        <f>'KW 31'!S5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5">
        <f>'KW 31'!S6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6">
        <f>'KW 31'!S7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5">
        <f>'KW 31'!S9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5">
        <f>'KW 31'!S10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5">
        <f>'KW 31'!S11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5">
        <f>'KW 31'!S12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5">
        <f>'KW 31'!S14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.75" thickBot="1" x14ac:dyDescent="0.3">
      <c r="A15" s="29" t="str">
        <f>Start!A15</f>
        <v>Einfachaufträge</v>
      </c>
      <c r="B15" s="135">
        <f>'KW 31'!S15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5">
        <f>'KW 31'!S17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39">
        <f>'KW 31'!S20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4">
        <f>'KW 31'!S22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5">
        <f>'KW 31'!S23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6">
        <f>'KW 31'!S24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4">
        <f>'KW 31'!S26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5">
        <f>'KW 31'!S27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6">
        <f>'KW 31'!S28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39">
        <f>'KW 31'!S30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4">
        <f>'KW 31'!S35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D30">
    <cfRule type="expression" dxfId="482" priority="19" stopIfTrue="1">
      <formula>AND(NOT(OR(ISBLANK($A5),$A5="Summe ")),$C$1="altes Jahr")</formula>
    </cfRule>
    <cfRule type="expression" dxfId="481" priority="21" stopIfTrue="1">
      <formula>AND(NOT(OR(ISBLANK($A5),$A5="Summe ")),WEEKDAY($C$3,2)&gt;5)</formula>
    </cfRule>
  </conditionalFormatting>
  <conditionalFormatting sqref="E5:F30">
    <cfRule type="expression" dxfId="480" priority="16" stopIfTrue="1">
      <formula>AND(NOT(OR(ISBLANK($A5),$A5="Summe ")),$E$1="altes Jahr")</formula>
    </cfRule>
    <cfRule type="expression" dxfId="479" priority="18" stopIfTrue="1">
      <formula>AND(NOT(OR(ISBLANK($A5),$A5="Summe ")),WEEKDAY($E$3,2)&gt;5)</formula>
    </cfRule>
  </conditionalFormatting>
  <conditionalFormatting sqref="G5:H30">
    <cfRule type="expression" dxfId="478" priority="13" stopIfTrue="1">
      <formula>AND(NOT(OR(ISBLANK($A5),$A5="Summe ")),$G$1="altes Jahr")</formula>
    </cfRule>
    <cfRule type="expression" dxfId="477" priority="15" stopIfTrue="1">
      <formula>AND(NOT(OR(ISBLANK($A5),$A5="Summe ")),WEEKDAY($G$3,2)&gt;5)</formula>
    </cfRule>
  </conditionalFormatting>
  <conditionalFormatting sqref="I5:J30">
    <cfRule type="expression" dxfId="476" priority="10" stopIfTrue="1">
      <formula>AND(NOT(OR(ISBLANK($A5),$A5="Summe ")),$I$1="altes Jahr")</formula>
    </cfRule>
    <cfRule type="expression" dxfId="475" priority="12" stopIfTrue="1">
      <formula>AND(NOT(OR(ISBLANK($A5),$A5="Summe ")),WEEKDAY($I$3,2)&gt;5)</formula>
    </cfRule>
  </conditionalFormatting>
  <conditionalFormatting sqref="K5:L30">
    <cfRule type="expression" dxfId="474" priority="7" stopIfTrue="1">
      <formula>AND(NOT(OR(ISBLANK($A5),$A5="Summe ")),$K$1="altes Jahr")</formula>
    </cfRule>
    <cfRule type="expression" dxfId="473" priority="9" stopIfTrue="1">
      <formula>AND(NOT(OR(ISBLANK($A5),$A5="Summe ")),WEEKDAY($K$3,2)&gt;5)</formula>
    </cfRule>
  </conditionalFormatting>
  <conditionalFormatting sqref="M5:N30">
    <cfRule type="expression" dxfId="472" priority="4" stopIfTrue="1">
      <formula>AND(NOT(OR(ISBLANK($A5),$A5="Summe ")),$M$1="altes Jahr")</formula>
    </cfRule>
    <cfRule type="expression" dxfId="471" priority="6" stopIfTrue="1">
      <formula>AND(NOT(OR(ISBLANK($A5),$A5="Summe ")),WEEKDAY($M$3,2)&gt;5)</formula>
    </cfRule>
  </conditionalFormatting>
  <conditionalFormatting sqref="O5:P30">
    <cfRule type="expression" dxfId="470" priority="1" stopIfTrue="1">
      <formula>AND(NOT(OR(ISBLANK($A5),$A5="Summe ")),$O$1="altes Jahr")</formula>
    </cfRule>
    <cfRule type="expression" dxfId="469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72BA928C-FCC5-484A-AD01-2CBC81078989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3ED58CF5-D350-4678-8771-C1F6DFC96731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56B384EF-EF7F-4990-9967-C71ABDEF317C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F0B94F41-E40D-48AA-91BD-5AFA3F0A67ED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7619CFDC-05FB-496E-9FFC-033B569849C8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0954BF48-0413-43EE-94CA-152B281C99EF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6F411461-CEE8-44B0-A1FF-661A52B7B3A6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Tabelle36"/>
  <dimension ref="A1:W37"/>
  <sheetViews>
    <sheetView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.75" thickBot="1" x14ac:dyDescent="0.3">
      <c r="A3" s="178" t="s">
        <v>20</v>
      </c>
      <c r="B3" s="182" t="s">
        <v>21</v>
      </c>
      <c r="C3" s="91">
        <f>'KW 1'!$C$3+224</f>
        <v>44424</v>
      </c>
      <c r="D3" s="92">
        <f>C3</f>
        <v>44424</v>
      </c>
      <c r="E3" s="91">
        <f>C3+1</f>
        <v>44425</v>
      </c>
      <c r="F3" s="92">
        <f>E3</f>
        <v>44425</v>
      </c>
      <c r="G3" s="91">
        <f>C3+2</f>
        <v>44426</v>
      </c>
      <c r="H3" s="92">
        <f>G3</f>
        <v>44426</v>
      </c>
      <c r="I3" s="91">
        <f>C3+3</f>
        <v>44427</v>
      </c>
      <c r="J3" s="92">
        <f>I3</f>
        <v>44427</v>
      </c>
      <c r="K3" s="91">
        <f>C3+4</f>
        <v>44428</v>
      </c>
      <c r="L3" s="92">
        <f>K3</f>
        <v>44428</v>
      </c>
      <c r="M3" s="91">
        <f>C3+5</f>
        <v>44429</v>
      </c>
      <c r="N3" s="92">
        <f>M3</f>
        <v>44429</v>
      </c>
      <c r="O3" s="91">
        <f>C3+6</f>
        <v>44430</v>
      </c>
      <c r="P3" s="92">
        <f>O3</f>
        <v>44430</v>
      </c>
      <c r="Q3" s="14" t="s">
        <v>0</v>
      </c>
      <c r="R3" s="15" t="s">
        <v>0</v>
      </c>
      <c r="S3" s="178" t="s">
        <v>1</v>
      </c>
      <c r="T3" s="178" t="s">
        <v>2</v>
      </c>
      <c r="U3" s="180" t="s">
        <v>3</v>
      </c>
      <c r="V3" s="176"/>
      <c r="W3" s="176" t="s">
        <v>4</v>
      </c>
    </row>
    <row r="4" spans="1:23" ht="15.75" thickBot="1" x14ac:dyDescent="0.3">
      <c r="A4" s="179"/>
      <c r="B4" s="183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81"/>
      <c r="V4" s="177"/>
      <c r="W4" s="177"/>
    </row>
    <row r="5" spans="1:23" x14ac:dyDescent="0.25">
      <c r="A5" s="19" t="str">
        <f>Start!A5</f>
        <v>Postbearbeitung Bestand</v>
      </c>
      <c r="B5" s="134">
        <f>'KW 32'!S5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5">
        <f>'KW 32'!S6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6">
        <f>'KW 32'!S7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5">
        <f>'KW 32'!S9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5">
        <f>'KW 32'!S10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5">
        <f>'KW 32'!S11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5">
        <f>'KW 32'!S12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5">
        <f>'KW 32'!S14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" customHeight="1" thickBot="1" x14ac:dyDescent="0.3">
      <c r="A15" s="29" t="str">
        <f>Start!A15</f>
        <v>Einfachaufträge</v>
      </c>
      <c r="B15" s="135">
        <f>'KW 32'!S15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5">
        <f>'KW 32'!S17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39">
        <f>'KW 32'!S20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4">
        <f>'KW 32'!S22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5">
        <f>'KW 32'!S23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6">
        <f>'KW 32'!S24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4">
        <f>'KW 32'!S26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5">
        <f>'KW 32'!S27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6">
        <f>'KW 32'!S28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39">
        <f>'KW 32'!S30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4">
        <f>'KW 32'!S35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D30">
    <cfRule type="expression" dxfId="461" priority="19" stopIfTrue="1">
      <formula>AND(NOT(OR(ISBLANK($A5),$A5="Summe ")),$C$1="altes Jahr")</formula>
    </cfRule>
    <cfRule type="expression" dxfId="460" priority="21" stopIfTrue="1">
      <formula>AND(NOT(OR(ISBLANK($A5),$A5="Summe ")),WEEKDAY($C$3,2)&gt;5)</formula>
    </cfRule>
  </conditionalFormatting>
  <conditionalFormatting sqref="E5:F30">
    <cfRule type="expression" dxfId="459" priority="16" stopIfTrue="1">
      <formula>AND(NOT(OR(ISBLANK($A5),$A5="Summe ")),$E$1="altes Jahr")</formula>
    </cfRule>
    <cfRule type="expression" dxfId="458" priority="18" stopIfTrue="1">
      <formula>AND(NOT(OR(ISBLANK($A5),$A5="Summe ")),WEEKDAY($E$3,2)&gt;5)</formula>
    </cfRule>
  </conditionalFormatting>
  <conditionalFormatting sqref="G5:H30">
    <cfRule type="expression" dxfId="457" priority="13" stopIfTrue="1">
      <formula>AND(NOT(OR(ISBLANK($A5),$A5="Summe ")),$G$1="altes Jahr")</formula>
    </cfRule>
    <cfRule type="expression" dxfId="456" priority="15" stopIfTrue="1">
      <formula>AND(NOT(OR(ISBLANK($A5),$A5="Summe ")),WEEKDAY($G$3,2)&gt;5)</formula>
    </cfRule>
  </conditionalFormatting>
  <conditionalFormatting sqref="I5:J30">
    <cfRule type="expression" dxfId="455" priority="10" stopIfTrue="1">
      <formula>AND(NOT(OR(ISBLANK($A5),$A5="Summe ")),$I$1="altes Jahr")</formula>
    </cfRule>
    <cfRule type="expression" dxfId="454" priority="12" stopIfTrue="1">
      <formula>AND(NOT(OR(ISBLANK($A5),$A5="Summe ")),WEEKDAY($I$3,2)&gt;5)</formula>
    </cfRule>
  </conditionalFormatting>
  <conditionalFormatting sqref="K5:L30">
    <cfRule type="expression" dxfId="453" priority="7" stopIfTrue="1">
      <formula>AND(NOT(OR(ISBLANK($A5),$A5="Summe ")),$K$1="altes Jahr")</formula>
    </cfRule>
    <cfRule type="expression" dxfId="452" priority="9" stopIfTrue="1">
      <formula>AND(NOT(OR(ISBLANK($A5),$A5="Summe ")),WEEKDAY($K$3,2)&gt;5)</formula>
    </cfRule>
  </conditionalFormatting>
  <conditionalFormatting sqref="M5:N30">
    <cfRule type="expression" dxfId="451" priority="4" stopIfTrue="1">
      <formula>AND(NOT(OR(ISBLANK($A5),$A5="Summe ")),$M$1="altes Jahr")</formula>
    </cfRule>
    <cfRule type="expression" dxfId="450" priority="6" stopIfTrue="1">
      <formula>AND(NOT(OR(ISBLANK($A5),$A5="Summe ")),WEEKDAY($M$3,2)&gt;5)</formula>
    </cfRule>
  </conditionalFormatting>
  <conditionalFormatting sqref="O5:P30">
    <cfRule type="expression" dxfId="449" priority="1" stopIfTrue="1">
      <formula>AND(NOT(OR(ISBLANK($A5),$A5="Summe ")),$O$1="altes Jahr")</formula>
    </cfRule>
    <cfRule type="expression" dxfId="448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D71EA238-FCA6-49F3-A7B3-A66017CEE54D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EF742CDD-A4D3-40CC-AACE-D24B0602295E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027938C9-7912-41BE-8F31-6C124FE0F97C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2A3464D3-3538-4435-8EB8-F46FBB2F65E8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64D5C529-BA0F-408E-8B4A-FC3474A606BF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EFB427C4-9E29-4910-8C93-C08182F9ECD6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1822065A-AD4D-4CCD-9A8D-432CA6DBA38A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Tabelle37"/>
  <dimension ref="A1:W37"/>
  <sheetViews>
    <sheetView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.75" thickBot="1" x14ac:dyDescent="0.3">
      <c r="A3" s="178" t="s">
        <v>20</v>
      </c>
      <c r="B3" s="182" t="s">
        <v>21</v>
      </c>
      <c r="C3" s="91">
        <f>'KW 1'!$C$3+231</f>
        <v>44431</v>
      </c>
      <c r="D3" s="92">
        <f>C3</f>
        <v>44431</v>
      </c>
      <c r="E3" s="91">
        <f>C3+1</f>
        <v>44432</v>
      </c>
      <c r="F3" s="92">
        <f>E3</f>
        <v>44432</v>
      </c>
      <c r="G3" s="91">
        <f>C3+2</f>
        <v>44433</v>
      </c>
      <c r="H3" s="92">
        <f>G3</f>
        <v>44433</v>
      </c>
      <c r="I3" s="91">
        <f>C3+3</f>
        <v>44434</v>
      </c>
      <c r="J3" s="92">
        <f>I3</f>
        <v>44434</v>
      </c>
      <c r="K3" s="91">
        <f>C3+4</f>
        <v>44435</v>
      </c>
      <c r="L3" s="92">
        <f>K3</f>
        <v>44435</v>
      </c>
      <c r="M3" s="91">
        <f>C3+5</f>
        <v>44436</v>
      </c>
      <c r="N3" s="92">
        <f>M3</f>
        <v>44436</v>
      </c>
      <c r="O3" s="91">
        <f>C3+6</f>
        <v>44437</v>
      </c>
      <c r="P3" s="92">
        <f>O3</f>
        <v>44437</v>
      </c>
      <c r="Q3" s="14" t="s">
        <v>0</v>
      </c>
      <c r="R3" s="15" t="s">
        <v>0</v>
      </c>
      <c r="S3" s="178" t="s">
        <v>1</v>
      </c>
      <c r="T3" s="178" t="s">
        <v>2</v>
      </c>
      <c r="U3" s="180" t="s">
        <v>3</v>
      </c>
      <c r="V3" s="176"/>
      <c r="W3" s="176" t="s">
        <v>4</v>
      </c>
    </row>
    <row r="4" spans="1:23" ht="15.75" thickBot="1" x14ac:dyDescent="0.3">
      <c r="A4" s="179"/>
      <c r="B4" s="183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81"/>
      <c r="V4" s="177"/>
      <c r="W4" s="177"/>
    </row>
    <row r="5" spans="1:23" x14ac:dyDescent="0.25">
      <c r="A5" s="19" t="str">
        <f>Start!A5</f>
        <v>Postbearbeitung Bestand</v>
      </c>
      <c r="B5" s="134">
        <f>'KW 33'!S5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5">
        <f>'KW 33'!S6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6">
        <f>'KW 33'!S7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5">
        <f>'KW 33'!S9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5">
        <f>'KW 33'!S10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5">
        <f>'KW 33'!S11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5">
        <f>'KW 33'!S12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5">
        <f>'KW 33'!S14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.75" thickBot="1" x14ac:dyDescent="0.3">
      <c r="A15" s="29" t="str">
        <f>Start!A15</f>
        <v>Einfachaufträge</v>
      </c>
      <c r="B15" s="135">
        <f>'KW 33'!S15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5">
        <f>'KW 33'!S17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39">
        <f>'KW 33'!S20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4">
        <f>'KW 33'!S22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5">
        <f>'KW 33'!S23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6">
        <f>'KW 33'!S24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4">
        <f>'KW 33'!S26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5">
        <f>'KW 33'!S27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6">
        <f>'KW 33'!S28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39">
        <f>'KW 33'!S30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4">
        <f>'KW 33'!S35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D30">
    <cfRule type="expression" dxfId="440" priority="19" stopIfTrue="1">
      <formula>AND(NOT(OR(ISBLANK($A5),$A5="Summe ")),$C$1="altes Jahr")</formula>
    </cfRule>
    <cfRule type="expression" dxfId="439" priority="21" stopIfTrue="1">
      <formula>AND(NOT(OR(ISBLANK($A5),$A5="Summe ")),WEEKDAY($C$3,2)&gt;5)</formula>
    </cfRule>
  </conditionalFormatting>
  <conditionalFormatting sqref="E5:F30">
    <cfRule type="expression" dxfId="438" priority="16" stopIfTrue="1">
      <formula>AND(NOT(OR(ISBLANK($A5),$A5="Summe ")),$E$1="altes Jahr")</formula>
    </cfRule>
    <cfRule type="expression" dxfId="437" priority="18" stopIfTrue="1">
      <formula>AND(NOT(OR(ISBLANK($A5),$A5="Summe ")),WEEKDAY($E$3,2)&gt;5)</formula>
    </cfRule>
  </conditionalFormatting>
  <conditionalFormatting sqref="G5:H30">
    <cfRule type="expression" dxfId="436" priority="13" stopIfTrue="1">
      <formula>AND(NOT(OR(ISBLANK($A5),$A5="Summe ")),$G$1="altes Jahr")</formula>
    </cfRule>
    <cfRule type="expression" dxfId="435" priority="15" stopIfTrue="1">
      <formula>AND(NOT(OR(ISBLANK($A5),$A5="Summe ")),WEEKDAY($G$3,2)&gt;5)</formula>
    </cfRule>
  </conditionalFormatting>
  <conditionalFormatting sqref="I5:J30">
    <cfRule type="expression" dxfId="434" priority="10" stopIfTrue="1">
      <formula>AND(NOT(OR(ISBLANK($A5),$A5="Summe ")),$I$1="altes Jahr")</formula>
    </cfRule>
    <cfRule type="expression" dxfId="433" priority="12" stopIfTrue="1">
      <formula>AND(NOT(OR(ISBLANK($A5),$A5="Summe ")),WEEKDAY($I$3,2)&gt;5)</formula>
    </cfRule>
  </conditionalFormatting>
  <conditionalFormatting sqref="K5:L30">
    <cfRule type="expression" dxfId="432" priority="7" stopIfTrue="1">
      <formula>AND(NOT(OR(ISBLANK($A5),$A5="Summe ")),$K$1="altes Jahr")</formula>
    </cfRule>
    <cfRule type="expression" dxfId="431" priority="9" stopIfTrue="1">
      <formula>AND(NOT(OR(ISBLANK($A5),$A5="Summe ")),WEEKDAY($K$3,2)&gt;5)</formula>
    </cfRule>
  </conditionalFormatting>
  <conditionalFormatting sqref="M5:N30">
    <cfRule type="expression" dxfId="430" priority="4" stopIfTrue="1">
      <formula>AND(NOT(OR(ISBLANK($A5),$A5="Summe ")),$M$1="altes Jahr")</formula>
    </cfRule>
    <cfRule type="expression" dxfId="429" priority="6" stopIfTrue="1">
      <formula>AND(NOT(OR(ISBLANK($A5),$A5="Summe ")),WEEKDAY($M$3,2)&gt;5)</formula>
    </cfRule>
  </conditionalFormatting>
  <conditionalFormatting sqref="O5:P30">
    <cfRule type="expression" dxfId="428" priority="1" stopIfTrue="1">
      <formula>AND(NOT(OR(ISBLANK($A5),$A5="Summe ")),$O$1="altes Jahr")</formula>
    </cfRule>
    <cfRule type="expression" dxfId="427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3DEC9DC3-2CA3-4C89-BB4F-D286EE5C6AA7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685697CD-E3C4-48F4-8660-D31E0A86706E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53F915BD-751C-4D42-A78D-1F12D2006125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A9CAC44A-CF95-4A2A-B060-D3ABAEF29F59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FDB59B46-F7EE-4CF2-BFF4-D16B8D032970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FF464D08-1F8C-40D1-AF8B-72DCDBBE4524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FF7D0CC4-67B2-46C4-A301-01538FE3B102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Tabelle38"/>
  <dimension ref="A1:W37"/>
  <sheetViews>
    <sheetView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.75" thickBot="1" x14ac:dyDescent="0.3">
      <c r="A3" s="178" t="s">
        <v>20</v>
      </c>
      <c r="B3" s="182" t="s">
        <v>21</v>
      </c>
      <c r="C3" s="91">
        <f>'KW 1'!$C$3+238</f>
        <v>44438</v>
      </c>
      <c r="D3" s="92">
        <f>C3</f>
        <v>44438</v>
      </c>
      <c r="E3" s="91">
        <f>C3+1</f>
        <v>44439</v>
      </c>
      <c r="F3" s="92">
        <f>E3</f>
        <v>44439</v>
      </c>
      <c r="G3" s="91">
        <f>C3+2</f>
        <v>44440</v>
      </c>
      <c r="H3" s="92">
        <f>G3</f>
        <v>44440</v>
      </c>
      <c r="I3" s="91">
        <f>C3+3</f>
        <v>44441</v>
      </c>
      <c r="J3" s="92">
        <f>I3</f>
        <v>44441</v>
      </c>
      <c r="K3" s="91">
        <f>C3+4</f>
        <v>44442</v>
      </c>
      <c r="L3" s="92">
        <f>K3</f>
        <v>44442</v>
      </c>
      <c r="M3" s="91">
        <f>C3+5</f>
        <v>44443</v>
      </c>
      <c r="N3" s="92">
        <f>M3</f>
        <v>44443</v>
      </c>
      <c r="O3" s="91">
        <f>C3+6</f>
        <v>44444</v>
      </c>
      <c r="P3" s="92">
        <f>O3</f>
        <v>44444</v>
      </c>
      <c r="Q3" s="14" t="s">
        <v>0</v>
      </c>
      <c r="R3" s="15" t="s">
        <v>0</v>
      </c>
      <c r="S3" s="178" t="s">
        <v>1</v>
      </c>
      <c r="T3" s="178" t="s">
        <v>2</v>
      </c>
      <c r="U3" s="180" t="s">
        <v>3</v>
      </c>
      <c r="V3" s="176"/>
      <c r="W3" s="176" t="s">
        <v>4</v>
      </c>
    </row>
    <row r="4" spans="1:23" ht="15.75" thickBot="1" x14ac:dyDescent="0.3">
      <c r="A4" s="179"/>
      <c r="B4" s="183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81"/>
      <c r="V4" s="177"/>
      <c r="W4" s="177"/>
    </row>
    <row r="5" spans="1:23" x14ac:dyDescent="0.25">
      <c r="A5" s="19" t="str">
        <f>Start!A5</f>
        <v>Postbearbeitung Bestand</v>
      </c>
      <c r="B5" s="134">
        <f>'KW 34'!S5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5">
        <f>'KW 34'!S6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6">
        <f>'KW 34'!S7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5">
        <f>'KW 34'!S9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5">
        <f>'KW 34'!S10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5">
        <f>'KW 34'!S11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5">
        <f>'KW 34'!S12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5">
        <f>'KW 34'!S14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.75" thickBot="1" x14ac:dyDescent="0.3">
      <c r="A15" s="29" t="str">
        <f>Start!A15</f>
        <v>Einfachaufträge</v>
      </c>
      <c r="B15" s="135">
        <f>'KW 34'!S15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5">
        <f>'KW 34'!S17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39">
        <f>'KW 34'!S20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4">
        <f>'KW 34'!S22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5">
        <f>'KW 34'!S23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6">
        <f>'KW 34'!S24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4">
        <f>'KW 34'!S26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5">
        <f>'KW 34'!S27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6">
        <f>'KW 34'!S28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39">
        <f>'KW 34'!S30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4">
        <f>'KW 34'!S35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D30">
    <cfRule type="expression" dxfId="419" priority="19" stopIfTrue="1">
      <formula>AND(NOT(OR(ISBLANK($A5),$A5="Summe ")),$C$1="altes Jahr")</formula>
    </cfRule>
    <cfRule type="expression" dxfId="418" priority="21" stopIfTrue="1">
      <formula>AND(NOT(OR(ISBLANK($A5),$A5="Summe ")),WEEKDAY($C$3,2)&gt;5)</formula>
    </cfRule>
  </conditionalFormatting>
  <conditionalFormatting sqref="E5:F30">
    <cfRule type="expression" dxfId="417" priority="16" stopIfTrue="1">
      <formula>AND(NOT(OR(ISBLANK($A5),$A5="Summe ")),$E$1="altes Jahr")</formula>
    </cfRule>
    <cfRule type="expression" dxfId="416" priority="18" stopIfTrue="1">
      <formula>AND(NOT(OR(ISBLANK($A5),$A5="Summe ")),WEEKDAY($E$3,2)&gt;5)</formula>
    </cfRule>
  </conditionalFormatting>
  <conditionalFormatting sqref="G5:H30">
    <cfRule type="expression" dxfId="415" priority="13" stopIfTrue="1">
      <formula>AND(NOT(OR(ISBLANK($A5),$A5="Summe ")),$G$1="altes Jahr")</formula>
    </cfRule>
    <cfRule type="expression" dxfId="414" priority="15" stopIfTrue="1">
      <formula>AND(NOT(OR(ISBLANK($A5),$A5="Summe ")),WEEKDAY($G$3,2)&gt;5)</formula>
    </cfRule>
  </conditionalFormatting>
  <conditionalFormatting sqref="I5:J30">
    <cfRule type="expression" dxfId="413" priority="10" stopIfTrue="1">
      <formula>AND(NOT(OR(ISBLANK($A5),$A5="Summe ")),$I$1="altes Jahr")</formula>
    </cfRule>
    <cfRule type="expression" dxfId="412" priority="12" stopIfTrue="1">
      <formula>AND(NOT(OR(ISBLANK($A5),$A5="Summe ")),WEEKDAY($I$3,2)&gt;5)</formula>
    </cfRule>
  </conditionalFormatting>
  <conditionalFormatting sqref="K5:L30">
    <cfRule type="expression" dxfId="411" priority="7" stopIfTrue="1">
      <formula>AND(NOT(OR(ISBLANK($A5),$A5="Summe ")),$K$1="altes Jahr")</formula>
    </cfRule>
    <cfRule type="expression" dxfId="410" priority="9" stopIfTrue="1">
      <formula>AND(NOT(OR(ISBLANK($A5),$A5="Summe ")),WEEKDAY($K$3,2)&gt;5)</formula>
    </cfRule>
  </conditionalFormatting>
  <conditionalFormatting sqref="M5:N30">
    <cfRule type="expression" dxfId="409" priority="4" stopIfTrue="1">
      <formula>AND(NOT(OR(ISBLANK($A5),$A5="Summe ")),$M$1="altes Jahr")</formula>
    </cfRule>
    <cfRule type="expression" dxfId="408" priority="6" stopIfTrue="1">
      <formula>AND(NOT(OR(ISBLANK($A5),$A5="Summe ")),WEEKDAY($M$3,2)&gt;5)</formula>
    </cfRule>
  </conditionalFormatting>
  <conditionalFormatting sqref="O5:P30">
    <cfRule type="expression" dxfId="407" priority="1" stopIfTrue="1">
      <formula>AND(NOT(OR(ISBLANK($A5),$A5="Summe ")),$O$1="altes Jahr")</formula>
    </cfRule>
    <cfRule type="expression" dxfId="406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B417EC05-3186-4BB4-8FB1-15B13FE51681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870C8954-CC2B-4825-B0F2-96197B38DCB3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13234F9A-0F18-4C1C-8ECA-574F2EE86507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A38340C3-CAC5-4923-A30B-1A4D10BDA8F8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25B44B40-6C21-4203-822A-3DB71C80B654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20D3C2E6-859C-45FD-A927-6849E1894D8A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0736BD6B-35A7-4777-964E-D85FD1A499D6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Tabelle39"/>
  <dimension ref="A1:W37"/>
  <sheetViews>
    <sheetView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.75" thickBot="1" x14ac:dyDescent="0.3">
      <c r="A3" s="178" t="s">
        <v>20</v>
      </c>
      <c r="B3" s="182" t="s">
        <v>21</v>
      </c>
      <c r="C3" s="91">
        <f>'KW 1'!$C$3+245</f>
        <v>44445</v>
      </c>
      <c r="D3" s="92">
        <f>C3</f>
        <v>44445</v>
      </c>
      <c r="E3" s="91">
        <f>C3+1</f>
        <v>44446</v>
      </c>
      <c r="F3" s="92">
        <f>E3</f>
        <v>44446</v>
      </c>
      <c r="G3" s="91">
        <f>C3+2</f>
        <v>44447</v>
      </c>
      <c r="H3" s="92">
        <f>G3</f>
        <v>44447</v>
      </c>
      <c r="I3" s="91">
        <f>C3+3</f>
        <v>44448</v>
      </c>
      <c r="J3" s="92">
        <f>I3</f>
        <v>44448</v>
      </c>
      <c r="K3" s="91">
        <f>C3+4</f>
        <v>44449</v>
      </c>
      <c r="L3" s="92">
        <f>K3</f>
        <v>44449</v>
      </c>
      <c r="M3" s="91">
        <f>C3+5</f>
        <v>44450</v>
      </c>
      <c r="N3" s="92">
        <f>M3</f>
        <v>44450</v>
      </c>
      <c r="O3" s="91">
        <f>C3+6</f>
        <v>44451</v>
      </c>
      <c r="P3" s="92">
        <f>O3</f>
        <v>44451</v>
      </c>
      <c r="Q3" s="14" t="s">
        <v>0</v>
      </c>
      <c r="R3" s="15" t="s">
        <v>0</v>
      </c>
      <c r="S3" s="178" t="s">
        <v>1</v>
      </c>
      <c r="T3" s="178" t="s">
        <v>2</v>
      </c>
      <c r="U3" s="180" t="s">
        <v>3</v>
      </c>
      <c r="V3" s="176"/>
      <c r="W3" s="176" t="s">
        <v>4</v>
      </c>
    </row>
    <row r="4" spans="1:23" ht="15.75" thickBot="1" x14ac:dyDescent="0.3">
      <c r="A4" s="179"/>
      <c r="B4" s="183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81"/>
      <c r="V4" s="177"/>
      <c r="W4" s="177"/>
    </row>
    <row r="5" spans="1:23" x14ac:dyDescent="0.25">
      <c r="A5" s="19" t="str">
        <f>Start!A5</f>
        <v>Postbearbeitung Bestand</v>
      </c>
      <c r="B5" s="134">
        <f>'KW 35'!S5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5">
        <f>'KW 35'!S6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6">
        <f>'KW 35'!S7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5">
        <f>'KW 35'!S9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5">
        <f>'KW 35'!S10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5">
        <f>'KW 35'!S11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5">
        <f>'KW 35'!S12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5">
        <f>'KW 35'!S14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.75" thickBot="1" x14ac:dyDescent="0.3">
      <c r="A15" s="29" t="str">
        <f>Start!A15</f>
        <v>Einfachaufträge</v>
      </c>
      <c r="B15" s="135">
        <f>'KW 35'!S15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5">
        <f>'KW 35'!S17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39">
        <f>'KW 35'!S20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4">
        <f>'KW 35'!S22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5">
        <f>'KW 35'!S23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6">
        <f>'KW 35'!S24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4">
        <f>'KW 35'!S26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5">
        <f>'KW 35'!S27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6">
        <f>'KW 35'!S28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39">
        <f>'KW 35'!S30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4">
        <f>'KW 35'!S35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D30">
    <cfRule type="expression" dxfId="398" priority="19" stopIfTrue="1">
      <formula>AND(NOT(OR(ISBLANK($A5),$A5="Summe ")),$C$1="altes Jahr")</formula>
    </cfRule>
    <cfRule type="expression" dxfId="397" priority="21" stopIfTrue="1">
      <formula>AND(NOT(OR(ISBLANK($A5),$A5="Summe ")),WEEKDAY($C$3,2)&gt;5)</formula>
    </cfRule>
  </conditionalFormatting>
  <conditionalFormatting sqref="E5:F30">
    <cfRule type="expression" dxfId="396" priority="16" stopIfTrue="1">
      <formula>AND(NOT(OR(ISBLANK($A5),$A5="Summe ")),$E$1="altes Jahr")</formula>
    </cfRule>
    <cfRule type="expression" dxfId="395" priority="18" stopIfTrue="1">
      <formula>AND(NOT(OR(ISBLANK($A5),$A5="Summe ")),WEEKDAY($E$3,2)&gt;5)</formula>
    </cfRule>
  </conditionalFormatting>
  <conditionalFormatting sqref="G5:H30">
    <cfRule type="expression" dxfId="394" priority="13" stopIfTrue="1">
      <formula>AND(NOT(OR(ISBLANK($A5),$A5="Summe ")),$G$1="altes Jahr")</formula>
    </cfRule>
    <cfRule type="expression" dxfId="393" priority="15" stopIfTrue="1">
      <formula>AND(NOT(OR(ISBLANK($A5),$A5="Summe ")),WEEKDAY($G$3,2)&gt;5)</formula>
    </cfRule>
  </conditionalFormatting>
  <conditionalFormatting sqref="I5:J30">
    <cfRule type="expression" dxfId="392" priority="10" stopIfTrue="1">
      <formula>AND(NOT(OR(ISBLANK($A5),$A5="Summe ")),$I$1="altes Jahr")</formula>
    </cfRule>
    <cfRule type="expression" dxfId="391" priority="12" stopIfTrue="1">
      <formula>AND(NOT(OR(ISBLANK($A5),$A5="Summe ")),WEEKDAY($I$3,2)&gt;5)</formula>
    </cfRule>
  </conditionalFormatting>
  <conditionalFormatting sqref="K5:L30">
    <cfRule type="expression" dxfId="390" priority="7" stopIfTrue="1">
      <formula>AND(NOT(OR(ISBLANK($A5),$A5="Summe ")),$K$1="altes Jahr")</formula>
    </cfRule>
    <cfRule type="expression" dxfId="389" priority="9" stopIfTrue="1">
      <formula>AND(NOT(OR(ISBLANK($A5),$A5="Summe ")),WEEKDAY($K$3,2)&gt;5)</formula>
    </cfRule>
  </conditionalFormatting>
  <conditionalFormatting sqref="M5:N30">
    <cfRule type="expression" dxfId="388" priority="4" stopIfTrue="1">
      <formula>AND(NOT(OR(ISBLANK($A5),$A5="Summe ")),$M$1="altes Jahr")</formula>
    </cfRule>
    <cfRule type="expression" dxfId="387" priority="6" stopIfTrue="1">
      <formula>AND(NOT(OR(ISBLANK($A5),$A5="Summe ")),WEEKDAY($M$3,2)&gt;5)</formula>
    </cfRule>
  </conditionalFormatting>
  <conditionalFormatting sqref="O5:P30">
    <cfRule type="expression" dxfId="386" priority="1" stopIfTrue="1">
      <formula>AND(NOT(OR(ISBLANK($A5),$A5="Summe ")),$O$1="altes Jahr")</formula>
    </cfRule>
    <cfRule type="expression" dxfId="385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61939B80-3086-4BF3-B146-BE9003895B29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7EBB026E-DCA6-4AEB-8621-699BE6E4C18F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A0593B18-952B-4285-BFF2-80FE4A76CF79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58A13A7E-BC5F-4A73-8208-060F8949D413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0C18C9E7-E9F9-4E9D-AFF9-3D6A9124902D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3D7E3F0D-5A94-4815-A11A-7B0C3C32EBAE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086940D4-488D-4CEE-9A3C-01AFA2ED9C6C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U37"/>
  <sheetViews>
    <sheetView zoomScaleNormal="100"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2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B1" s="12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s="122" customFormat="1" ht="16.5" thickBot="1" x14ac:dyDescent="0.3">
      <c r="C2" s="122">
        <f>YEAR(C3)</f>
        <v>2021</v>
      </c>
      <c r="D2" s="166" t="str">
        <f>IFERROR(VLOOKUP(C3,Start!$F$2:$G$22,2,0),"")</f>
        <v/>
      </c>
      <c r="E2" s="122">
        <f>YEAR(E3)</f>
        <v>2021</v>
      </c>
      <c r="F2" s="166" t="str">
        <f>IFERROR(VLOOKUP(E3,Start!$F$2:$G$22,2,0),"")</f>
        <v/>
      </c>
      <c r="G2" s="122">
        <f>YEAR(G3)</f>
        <v>2021</v>
      </c>
      <c r="H2" s="166" t="str">
        <f>IFERROR(VLOOKUP(G3,Start!$F$2:$G$22,2,0),"")</f>
        <v/>
      </c>
      <c r="I2" s="122">
        <f>YEAR(I3)</f>
        <v>2021</v>
      </c>
      <c r="J2" s="166" t="str">
        <f>IFERROR(VLOOKUP(I3,Start!$F$2:$G$22,2,0),"")</f>
        <v/>
      </c>
      <c r="K2" s="122">
        <f>YEAR(K3)</f>
        <v>2021</v>
      </c>
      <c r="L2" s="166" t="str">
        <f>IFERROR(VLOOKUP(K3,Start!$F$2:$G$22,2,0),"")</f>
        <v/>
      </c>
      <c r="M2" s="122">
        <f>YEAR(M3)</f>
        <v>2021</v>
      </c>
      <c r="N2" s="166" t="str">
        <f>IFERROR(VLOOKUP(M3,Start!$F$2:$G$22,2,0),"")</f>
        <v/>
      </c>
      <c r="O2" s="122">
        <f>YEAR(O3)</f>
        <v>2021</v>
      </c>
      <c r="P2" s="166" t="str">
        <f>IFERROR(VLOOKUP(O3,Start!$F$2:$G$22,2,0),"")</f>
        <v/>
      </c>
    </row>
    <row r="3" spans="1:21" ht="15.75" thickBot="1" x14ac:dyDescent="0.3">
      <c r="A3" s="178" t="s">
        <v>20</v>
      </c>
      <c r="B3" s="178" t="s">
        <v>21</v>
      </c>
      <c r="C3" s="91">
        <f>Start!I2</f>
        <v>44200</v>
      </c>
      <c r="D3" s="92">
        <f>C3</f>
        <v>44200</v>
      </c>
      <c r="E3" s="91">
        <f>C3+1</f>
        <v>44201</v>
      </c>
      <c r="F3" s="92">
        <f>E3</f>
        <v>44201</v>
      </c>
      <c r="G3" s="91">
        <f>C3+2</f>
        <v>44202</v>
      </c>
      <c r="H3" s="92">
        <f>G3</f>
        <v>44202</v>
      </c>
      <c r="I3" s="91">
        <f>C3+3</f>
        <v>44203</v>
      </c>
      <c r="J3" s="92">
        <f>I3</f>
        <v>44203</v>
      </c>
      <c r="K3" s="91">
        <f>C3+4</f>
        <v>44204</v>
      </c>
      <c r="L3" s="92">
        <f>K3</f>
        <v>44204</v>
      </c>
      <c r="M3" s="91">
        <f>C3+5</f>
        <v>44205</v>
      </c>
      <c r="N3" s="92">
        <f>M3</f>
        <v>44205</v>
      </c>
      <c r="O3" s="91">
        <f>C3+6</f>
        <v>44206</v>
      </c>
      <c r="P3" s="92">
        <f>O3</f>
        <v>44206</v>
      </c>
      <c r="Q3" s="14" t="s">
        <v>0</v>
      </c>
      <c r="R3" s="15" t="s">
        <v>0</v>
      </c>
      <c r="S3" s="178" t="s">
        <v>1</v>
      </c>
      <c r="T3" s="178" t="s">
        <v>2</v>
      </c>
      <c r="U3" s="176" t="s">
        <v>4</v>
      </c>
    </row>
    <row r="4" spans="1:21" ht="15.75" thickBot="1" x14ac:dyDescent="0.3">
      <c r="A4" s="179"/>
      <c r="B4" s="17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77"/>
    </row>
    <row r="5" spans="1:21" x14ac:dyDescent="0.25">
      <c r="A5" s="19" t="str">
        <f>Start!A5</f>
        <v>Postbearbeitung Bestand</v>
      </c>
      <c r="B5" s="167">
        <f>'alt KW 53'!S5</f>
        <v>0</v>
      </c>
      <c r="C5" s="162"/>
      <c r="D5" s="163"/>
      <c r="E5" s="15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 t="shared" ref="Q5:R7" si="0">C5+E5+G5+I5+K5+M5+O5</f>
        <v>0</v>
      </c>
      <c r="R5" s="21">
        <f t="shared" si="0"/>
        <v>0</v>
      </c>
      <c r="S5" s="22">
        <f>B5+Q5-R5</f>
        <v>0</v>
      </c>
      <c r="T5" s="22">
        <f>R5/5</f>
        <v>0</v>
      </c>
      <c r="U5" s="23">
        <f t="shared" ref="U5:U30" si="1">Q5/5</f>
        <v>0</v>
      </c>
    </row>
    <row r="6" spans="1:21" x14ac:dyDescent="0.25">
      <c r="A6" s="24" t="str">
        <f>Start!A6</f>
        <v>Mailbox</v>
      </c>
      <c r="B6" s="168">
        <f>'alt KW 53'!S6</f>
        <v>0</v>
      </c>
      <c r="C6" s="173"/>
      <c r="D6" s="174"/>
      <c r="E6" s="171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si="0"/>
        <v>0</v>
      </c>
      <c r="R6" s="26">
        <f t="shared" si="0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1"/>
        <v>0</v>
      </c>
    </row>
    <row r="7" spans="1:21" ht="15.75" thickBot="1" x14ac:dyDescent="0.3">
      <c r="A7" s="29" t="str">
        <f>Start!A7</f>
        <v>Eilige</v>
      </c>
      <c r="B7" s="169">
        <f>'alt KW 53'!S7</f>
        <v>0</v>
      </c>
      <c r="C7" s="164"/>
      <c r="D7" s="165"/>
      <c r="E7" s="160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0"/>
        <v>0</v>
      </c>
      <c r="R7" s="31">
        <f t="shared" si="0"/>
        <v>0</v>
      </c>
      <c r="S7" s="32">
        <f t="shared" si="2"/>
        <v>0</v>
      </c>
      <c r="T7" s="32">
        <f t="shared" si="3"/>
        <v>0</v>
      </c>
      <c r="U7" s="33">
        <f t="shared" si="1"/>
        <v>0</v>
      </c>
    </row>
    <row r="8" spans="1:21" ht="7.35" customHeight="1" thickBot="1" x14ac:dyDescent="0.3">
      <c r="A8" s="34"/>
      <c r="B8" s="137"/>
      <c r="C8" s="54"/>
      <c r="D8" s="54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68">
        <f>'alt KW 53'!S9</f>
        <v>0</v>
      </c>
      <c r="C9" s="162"/>
      <c r="D9" s="163"/>
      <c r="E9" s="171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1"/>
        <v>0</v>
      </c>
    </row>
    <row r="10" spans="1:21" x14ac:dyDescent="0.25">
      <c r="A10" s="24" t="str">
        <f>Start!A10</f>
        <v xml:space="preserve">   Buchungen</v>
      </c>
      <c r="B10" s="168">
        <f>'alt KW 53'!S10</f>
        <v>0</v>
      </c>
      <c r="C10" s="173"/>
      <c r="D10" s="174"/>
      <c r="E10" s="171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1"/>
        <v>0</v>
      </c>
    </row>
    <row r="11" spans="1:21" ht="15.75" thickBot="1" x14ac:dyDescent="0.3">
      <c r="A11" s="24" t="str">
        <f>Start!A11</f>
        <v>SB (Mietavale/StK)</v>
      </c>
      <c r="B11" s="168">
        <f>'alt KW 53'!S11</f>
        <v>2</v>
      </c>
      <c r="C11" s="164"/>
      <c r="D11" s="165"/>
      <c r="E11" s="171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1"/>
        <v>0</v>
      </c>
    </row>
    <row r="12" spans="1:21" ht="15" customHeight="1" thickBot="1" x14ac:dyDescent="0.3">
      <c r="A12" s="29" t="str">
        <f>Start!A12</f>
        <v>neue Mietavale</v>
      </c>
      <c r="B12" s="168">
        <f>'alt KW 53'!S12</f>
        <v>0</v>
      </c>
      <c r="C12" s="162"/>
      <c r="D12" s="163"/>
      <c r="E12" s="171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1"/>
        <v>0</v>
      </c>
    </row>
    <row r="13" spans="1:21" ht="7.35" customHeight="1" thickBot="1" x14ac:dyDescent="0.3">
      <c r="A13" s="34"/>
      <c r="B13" s="138"/>
      <c r="C13" s="54"/>
      <c r="D13" s="54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68">
        <f>'alt KW 53'!S14</f>
        <v>0</v>
      </c>
      <c r="C14" s="162"/>
      <c r="D14" s="163"/>
      <c r="E14" s="171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1"/>
        <v>0</v>
      </c>
    </row>
    <row r="15" spans="1:21" ht="15.75" thickBot="1" x14ac:dyDescent="0.3">
      <c r="A15" s="29" t="str">
        <f>Start!A15</f>
        <v>Einfachaufträge</v>
      </c>
      <c r="B15" s="168">
        <f>'alt KW 53'!S15</f>
        <v>0</v>
      </c>
      <c r="C15" s="173"/>
      <c r="D15" s="174"/>
      <c r="E15" s="171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1"/>
        <v>0</v>
      </c>
    </row>
    <row r="16" spans="1:21" ht="6.75" hidden="1" customHeight="1" thickBot="1" x14ac:dyDescent="0.3">
      <c r="A16" s="34"/>
      <c r="B16" s="138"/>
      <c r="C16" s="54"/>
      <c r="D16" s="54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5">
        <f>'alt KW 53'!S17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1"/>
        <v>0</v>
      </c>
    </row>
    <row r="18" spans="1:21" ht="15.75" thickBot="1" x14ac:dyDescent="0.3">
      <c r="A18" s="47" t="s">
        <v>13</v>
      </c>
      <c r="B18" s="48">
        <f t="shared" ref="B18:H18" si="8">SUM(B5:B17)</f>
        <v>2</v>
      </c>
      <c r="C18" s="48">
        <f t="shared" si="8"/>
        <v>0</v>
      </c>
      <c r="D18" s="48">
        <f t="shared" si="8"/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ref="I18:T18" si="9">SUM(I5:I17)</f>
        <v>0</v>
      </c>
      <c r="J18" s="48">
        <f t="shared" si="9"/>
        <v>0</v>
      </c>
      <c r="K18" s="48">
        <f t="shared" si="9"/>
        <v>0</v>
      </c>
      <c r="L18" s="48">
        <f t="shared" si="9"/>
        <v>0</v>
      </c>
      <c r="M18" s="48">
        <f t="shared" si="9"/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70">
        <f>'alt KW 53'!S20</f>
        <v>0</v>
      </c>
      <c r="C20" s="162"/>
      <c r="D20" s="163"/>
      <c r="E20" s="1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1"/>
        <v>0</v>
      </c>
    </row>
    <row r="21" spans="1:21" ht="7.35" customHeight="1" thickBot="1" x14ac:dyDescent="0.3">
      <c r="A21" s="34"/>
      <c r="B21" s="137"/>
      <c r="C21" s="54"/>
      <c r="D21" s="5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ht="15.75" thickBot="1" x14ac:dyDescent="0.3">
      <c r="A22" s="19" t="str">
        <f>Start!A22</f>
        <v>SWP Mailbox</v>
      </c>
      <c r="B22" s="168">
        <f>'alt KW 53'!S22</f>
        <v>0</v>
      </c>
      <c r="C22" s="162"/>
      <c r="D22" s="163"/>
      <c r="E22" s="171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1"/>
        <v>0</v>
      </c>
    </row>
    <row r="23" spans="1:21" ht="15.75" thickBot="1" x14ac:dyDescent="0.3">
      <c r="A23" s="24" t="str">
        <f>Start!A23</f>
        <v>KCB Mailbox</v>
      </c>
      <c r="B23" s="168">
        <f>'alt KW 53'!S23</f>
        <v>0</v>
      </c>
      <c r="C23" s="162"/>
      <c r="D23" s="163"/>
      <c r="E23" s="171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1"/>
        <v>0</v>
      </c>
    </row>
    <row r="24" spans="1:21" ht="15.75" thickBot="1" x14ac:dyDescent="0.3">
      <c r="A24" s="29" t="str">
        <f>Start!A24</f>
        <v>SNOW</v>
      </c>
      <c r="B24" s="168">
        <f>'alt KW 53'!S24</f>
        <v>0</v>
      </c>
      <c r="C24" s="162"/>
      <c r="D24" s="163"/>
      <c r="E24" s="171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1"/>
        <v>0</v>
      </c>
    </row>
    <row r="25" spans="1:21" ht="7.35" customHeight="1" thickBot="1" x14ac:dyDescent="0.3">
      <c r="A25" s="34"/>
      <c r="B25" s="137"/>
      <c r="C25" s="54"/>
      <c r="D25" s="54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ht="15.75" thickBot="1" x14ac:dyDescent="0.3">
      <c r="A26" s="19" t="str">
        <f>Start!A26</f>
        <v>Antragsvorprüfung</v>
      </c>
      <c r="B26" s="167">
        <f>'alt KW 53'!S26</f>
        <v>1</v>
      </c>
      <c r="C26" s="162"/>
      <c r="D26" s="163"/>
      <c r="E26" s="171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1"/>
        <v>0</v>
      </c>
    </row>
    <row r="27" spans="1:21" ht="15.75" thickBot="1" x14ac:dyDescent="0.3">
      <c r="A27" s="24" t="str">
        <f>Start!A27</f>
        <v>LV TAZ</v>
      </c>
      <c r="B27" s="168">
        <f>'alt KW 53'!S27</f>
        <v>48</v>
      </c>
      <c r="C27" s="162"/>
      <c r="D27" s="163"/>
      <c r="E27" s="171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1"/>
        <v>0</v>
      </c>
    </row>
    <row r="28" spans="1:21" ht="15.75" thickBot="1" x14ac:dyDescent="0.3">
      <c r="A28" s="29" t="str">
        <f>Start!A28</f>
        <v>WGV</v>
      </c>
      <c r="B28" s="169">
        <f>'alt KW 53'!S28</f>
        <v>7</v>
      </c>
      <c r="C28" s="162"/>
      <c r="D28" s="163"/>
      <c r="E28" s="160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1"/>
        <v>0</v>
      </c>
    </row>
    <row r="29" spans="1:21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70">
        <f>'alt KW 53'!S30</f>
        <v>0</v>
      </c>
      <c r="C30" s="162"/>
      <c r="D30" s="163"/>
      <c r="E30" s="1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1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74">
        <f>SUM(C20:C30)</f>
        <v>0</v>
      </c>
      <c r="D31" s="74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B32" s="59"/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B34" s="59"/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4">
        <f>'alt KW 53'!S35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S3:S4"/>
    <mergeCell ref="T3:T4"/>
    <mergeCell ref="B3:B4"/>
  </mergeCells>
  <conditionalFormatting sqref="C5:D30">
    <cfRule type="expression" dxfId="1133" priority="19" stopIfTrue="1">
      <formula>AND(NOT(OR(ISBLANK($A5),$A5="Summe ")),$C$1="altes Jahr")</formula>
    </cfRule>
    <cfRule type="expression" dxfId="1132" priority="21" stopIfTrue="1">
      <formula>AND(NOT(OR(ISBLANK($A5),$A5="Summe ")),WEEKDAY($C$3,2)&gt;5)</formula>
    </cfRule>
  </conditionalFormatting>
  <conditionalFormatting sqref="E5:F30">
    <cfRule type="expression" dxfId="1131" priority="16" stopIfTrue="1">
      <formula>AND(NOT(OR(ISBLANK($A5),$A5="Summe ")),$E$1="altes Jahr")</formula>
    </cfRule>
    <cfRule type="expression" dxfId="1130" priority="18" stopIfTrue="1">
      <formula>AND(NOT(OR(ISBLANK($A5),$A5="Summe ")),WEEKDAY($E$3,2)&gt;5)</formula>
    </cfRule>
  </conditionalFormatting>
  <conditionalFormatting sqref="G5:H30">
    <cfRule type="expression" dxfId="1129" priority="13" stopIfTrue="1">
      <formula>AND(NOT(OR(ISBLANK($A5),$A5="Summe ")),$G$1="altes Jahr")</formula>
    </cfRule>
    <cfRule type="expression" dxfId="1128" priority="15" stopIfTrue="1">
      <formula>AND(NOT(OR(ISBLANK($A5),$A5="Summe ")),WEEKDAY($G$3,2)&gt;5)</formula>
    </cfRule>
  </conditionalFormatting>
  <conditionalFormatting sqref="I5:J30">
    <cfRule type="expression" dxfId="1127" priority="10" stopIfTrue="1">
      <formula>AND(NOT(OR(ISBLANK($A5),$A5="Summe ")),$I$1="altes Jahr")</formula>
    </cfRule>
    <cfRule type="expression" dxfId="1126" priority="12" stopIfTrue="1">
      <formula>AND(NOT(OR(ISBLANK($A5),$A5="Summe ")),WEEKDAY($I$3,2)&gt;5)</formula>
    </cfRule>
  </conditionalFormatting>
  <conditionalFormatting sqref="K5:L30">
    <cfRule type="expression" dxfId="1125" priority="7" stopIfTrue="1">
      <formula>AND(NOT(OR(ISBLANK($A5),$A5="Summe ")),$K$1="altes Jahr")</formula>
    </cfRule>
    <cfRule type="expression" dxfId="1124" priority="9" stopIfTrue="1">
      <formula>AND(NOT(OR(ISBLANK($A5),$A5="Summe ")),WEEKDAY($K$3,2)&gt;5)</formula>
    </cfRule>
  </conditionalFormatting>
  <conditionalFormatting sqref="M5:N30">
    <cfRule type="expression" dxfId="1123" priority="4" stopIfTrue="1">
      <formula>AND(NOT(OR(ISBLANK($A5),$A5="Summe ")),$M$1="altes Jahr")</formula>
    </cfRule>
    <cfRule type="expression" dxfId="1122" priority="6" stopIfTrue="1">
      <formula>AND(NOT(OR(ISBLANK($A5),$A5="Summe ")),WEEKDAY($M$3,2)&gt;5)</formula>
    </cfRule>
  </conditionalFormatting>
  <conditionalFormatting sqref="O5:P30">
    <cfRule type="expression" dxfId="1121" priority="1" stopIfTrue="1">
      <formula>AND(NOT(OR(ISBLANK($A5),$A5="Summe ")),$O$1="altes Jahr")</formula>
    </cfRule>
    <cfRule type="expression" dxfId="1120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5184BBD5-C2D4-474F-9546-5D4AB54781D1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B9E7B3BE-F17A-4B8B-80AF-CBB8F54AD2BE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97393CD2-8FE5-4B92-8DA4-EA70F0E58E59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29F559AD-1D12-48E6-9831-DFEA1640DFEC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695C2E78-CB35-483F-B863-675A17E36A3D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6F46B4BF-CCB1-48FC-B8CB-D35997A24665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13FF7C5C-9CC9-4D20-B30A-AC4CF642E831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Tabelle40"/>
  <dimension ref="A1:W37"/>
  <sheetViews>
    <sheetView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.75" thickBot="1" x14ac:dyDescent="0.3">
      <c r="A3" s="178" t="s">
        <v>20</v>
      </c>
      <c r="B3" s="182" t="s">
        <v>21</v>
      </c>
      <c r="C3" s="91">
        <f>'KW 1'!$C$3+252</f>
        <v>44452</v>
      </c>
      <c r="D3" s="92">
        <f>C3</f>
        <v>44452</v>
      </c>
      <c r="E3" s="91">
        <f>C3+1</f>
        <v>44453</v>
      </c>
      <c r="F3" s="92">
        <f>E3</f>
        <v>44453</v>
      </c>
      <c r="G3" s="91">
        <f>C3+2</f>
        <v>44454</v>
      </c>
      <c r="H3" s="92">
        <f>G3</f>
        <v>44454</v>
      </c>
      <c r="I3" s="91">
        <f>C3+3</f>
        <v>44455</v>
      </c>
      <c r="J3" s="92">
        <f>I3</f>
        <v>44455</v>
      </c>
      <c r="K3" s="91">
        <f>C3+4</f>
        <v>44456</v>
      </c>
      <c r="L3" s="92">
        <f>K3</f>
        <v>44456</v>
      </c>
      <c r="M3" s="91">
        <f>C3+5</f>
        <v>44457</v>
      </c>
      <c r="N3" s="92">
        <f>M3</f>
        <v>44457</v>
      </c>
      <c r="O3" s="91">
        <f>C3+6</f>
        <v>44458</v>
      </c>
      <c r="P3" s="92">
        <f>O3</f>
        <v>44458</v>
      </c>
      <c r="Q3" s="14" t="s">
        <v>0</v>
      </c>
      <c r="R3" s="15" t="s">
        <v>0</v>
      </c>
      <c r="S3" s="178" t="s">
        <v>1</v>
      </c>
      <c r="T3" s="178" t="s">
        <v>2</v>
      </c>
      <c r="U3" s="180" t="s">
        <v>3</v>
      </c>
      <c r="V3" s="176"/>
      <c r="W3" s="176" t="s">
        <v>4</v>
      </c>
    </row>
    <row r="4" spans="1:23" ht="15.75" thickBot="1" x14ac:dyDescent="0.3">
      <c r="A4" s="179"/>
      <c r="B4" s="183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81"/>
      <c r="V4" s="177"/>
      <c r="W4" s="177"/>
    </row>
    <row r="5" spans="1:23" x14ac:dyDescent="0.25">
      <c r="A5" s="19" t="str">
        <f>Start!A5</f>
        <v>Postbearbeitung Bestand</v>
      </c>
      <c r="B5" s="134">
        <f>'KW 36'!S5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5">
        <f>'KW 36'!S6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6">
        <f>'KW 36'!S7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5">
        <f>'KW 36'!S9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5">
        <f>'KW 36'!S10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5">
        <f>'KW 36'!S11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5">
        <f>'KW 36'!S12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5">
        <f>'KW 36'!S14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.75" thickBot="1" x14ac:dyDescent="0.3">
      <c r="A15" s="29" t="str">
        <f>Start!A15</f>
        <v>Einfachaufträge</v>
      </c>
      <c r="B15" s="135">
        <f>'KW 36'!S15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5">
        <f>'KW 36'!S17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39">
        <f>'KW 36'!S20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4">
        <f>'KW 36'!S22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5">
        <f>'KW 36'!S23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6">
        <f>'KW 36'!S24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4">
        <f>'KW 36'!S26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5">
        <f>'KW 36'!S27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6">
        <f>'KW 36'!S28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39">
        <f>'KW 36'!S30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4">
        <f>'KW 36'!S35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D30">
    <cfRule type="expression" dxfId="377" priority="19" stopIfTrue="1">
      <formula>AND(NOT(OR(ISBLANK($A5),$A5="Summe ")),$C$1="altes Jahr")</formula>
    </cfRule>
    <cfRule type="expression" dxfId="376" priority="21" stopIfTrue="1">
      <formula>AND(NOT(OR(ISBLANK($A5),$A5="Summe ")),WEEKDAY($C$3,2)&gt;5)</formula>
    </cfRule>
  </conditionalFormatting>
  <conditionalFormatting sqref="E5:F30">
    <cfRule type="expression" dxfId="375" priority="16" stopIfTrue="1">
      <formula>AND(NOT(OR(ISBLANK($A5),$A5="Summe ")),$E$1="altes Jahr")</formula>
    </cfRule>
    <cfRule type="expression" dxfId="374" priority="18" stopIfTrue="1">
      <formula>AND(NOT(OR(ISBLANK($A5),$A5="Summe ")),WEEKDAY($E$3,2)&gt;5)</formula>
    </cfRule>
  </conditionalFormatting>
  <conditionalFormatting sqref="G5:H30">
    <cfRule type="expression" dxfId="373" priority="13" stopIfTrue="1">
      <formula>AND(NOT(OR(ISBLANK($A5),$A5="Summe ")),$G$1="altes Jahr")</formula>
    </cfRule>
    <cfRule type="expression" dxfId="372" priority="15" stopIfTrue="1">
      <formula>AND(NOT(OR(ISBLANK($A5),$A5="Summe ")),WEEKDAY($G$3,2)&gt;5)</formula>
    </cfRule>
  </conditionalFormatting>
  <conditionalFormatting sqref="I5:J30">
    <cfRule type="expression" dxfId="371" priority="10" stopIfTrue="1">
      <formula>AND(NOT(OR(ISBLANK($A5),$A5="Summe ")),$I$1="altes Jahr")</formula>
    </cfRule>
    <cfRule type="expression" dxfId="370" priority="12" stopIfTrue="1">
      <formula>AND(NOT(OR(ISBLANK($A5),$A5="Summe ")),WEEKDAY($I$3,2)&gt;5)</formula>
    </cfRule>
  </conditionalFormatting>
  <conditionalFormatting sqref="K5:L30">
    <cfRule type="expression" dxfId="369" priority="7" stopIfTrue="1">
      <formula>AND(NOT(OR(ISBLANK($A5),$A5="Summe ")),$K$1="altes Jahr")</formula>
    </cfRule>
    <cfRule type="expression" dxfId="368" priority="9" stopIfTrue="1">
      <formula>AND(NOT(OR(ISBLANK($A5),$A5="Summe ")),WEEKDAY($K$3,2)&gt;5)</formula>
    </cfRule>
  </conditionalFormatting>
  <conditionalFormatting sqref="M5:N30">
    <cfRule type="expression" dxfId="367" priority="4" stopIfTrue="1">
      <formula>AND(NOT(OR(ISBLANK($A5),$A5="Summe ")),$M$1="altes Jahr")</formula>
    </cfRule>
    <cfRule type="expression" dxfId="366" priority="6" stopIfTrue="1">
      <formula>AND(NOT(OR(ISBLANK($A5),$A5="Summe ")),WEEKDAY($M$3,2)&gt;5)</formula>
    </cfRule>
  </conditionalFormatting>
  <conditionalFormatting sqref="O5:P30">
    <cfRule type="expression" dxfId="365" priority="1" stopIfTrue="1">
      <formula>AND(NOT(OR(ISBLANK($A5),$A5="Summe ")),$O$1="altes Jahr")</formula>
    </cfRule>
    <cfRule type="expression" dxfId="364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CA1F75AB-EA1D-440F-ADEF-D255C0676D2E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FE44A2E4-E4F5-4C2C-B54F-5FC2B098A4AC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05E68EFD-9098-48E2-B7F9-14E102AECB53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78539C2B-24D1-43B4-A1BF-5F661D5C22B4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59DDB724-9D47-44A0-B581-F7994A78D507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6748E483-9745-4236-BD2D-F35AE3758012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52F0872B-2596-4BC2-9801-7484D9E233E5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Tabelle41"/>
  <dimension ref="A1:W37"/>
  <sheetViews>
    <sheetView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.75" thickBot="1" x14ac:dyDescent="0.3">
      <c r="A3" s="178" t="s">
        <v>20</v>
      </c>
      <c r="B3" s="182" t="s">
        <v>21</v>
      </c>
      <c r="C3" s="91">
        <f>'KW 1'!$C$3+259</f>
        <v>44459</v>
      </c>
      <c r="D3" s="92">
        <f>C3</f>
        <v>44459</v>
      </c>
      <c r="E3" s="91">
        <f>C3+1</f>
        <v>44460</v>
      </c>
      <c r="F3" s="92">
        <f>E3</f>
        <v>44460</v>
      </c>
      <c r="G3" s="91">
        <f>C3+2</f>
        <v>44461</v>
      </c>
      <c r="H3" s="92">
        <f>G3</f>
        <v>44461</v>
      </c>
      <c r="I3" s="91">
        <f>C3+3</f>
        <v>44462</v>
      </c>
      <c r="J3" s="92">
        <f>I3</f>
        <v>44462</v>
      </c>
      <c r="K3" s="91">
        <f>C3+4</f>
        <v>44463</v>
      </c>
      <c r="L3" s="92">
        <f>K3</f>
        <v>44463</v>
      </c>
      <c r="M3" s="91">
        <f>C3+5</f>
        <v>44464</v>
      </c>
      <c r="N3" s="92">
        <f>M3</f>
        <v>44464</v>
      </c>
      <c r="O3" s="91">
        <f>C3+6</f>
        <v>44465</v>
      </c>
      <c r="P3" s="92">
        <f>O3</f>
        <v>44465</v>
      </c>
      <c r="Q3" s="14" t="s">
        <v>0</v>
      </c>
      <c r="R3" s="15" t="s">
        <v>0</v>
      </c>
      <c r="S3" s="178" t="s">
        <v>1</v>
      </c>
      <c r="T3" s="178" t="s">
        <v>2</v>
      </c>
      <c r="U3" s="180" t="s">
        <v>3</v>
      </c>
      <c r="V3" s="176"/>
      <c r="W3" s="176" t="s">
        <v>4</v>
      </c>
    </row>
    <row r="4" spans="1:23" ht="15.75" thickBot="1" x14ac:dyDescent="0.3">
      <c r="A4" s="179"/>
      <c r="B4" s="183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81"/>
      <c r="V4" s="177"/>
      <c r="W4" s="177"/>
    </row>
    <row r="5" spans="1:23" x14ac:dyDescent="0.25">
      <c r="A5" s="19" t="str">
        <f>Start!A5</f>
        <v>Postbearbeitung Bestand</v>
      </c>
      <c r="B5" s="134">
        <f>'KW 37'!S5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5">
        <f>'KW 37'!S6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6">
        <f>'KW 37'!S7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4">
        <f>'KW 37'!S9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5">
        <f>'KW 37'!S10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5">
        <f>'KW 37'!S11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6">
        <f>'KW 37'!S12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4">
        <f>'KW 37'!S14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.75" thickBot="1" x14ac:dyDescent="0.3">
      <c r="A15" s="29" t="str">
        <f>Start!A15</f>
        <v>Einfachaufträge</v>
      </c>
      <c r="B15" s="136">
        <f>'KW 37'!S15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4">
        <f>'KW 37'!S17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34">
        <f>'KW 37'!S20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4">
        <f>'KW 37'!S22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5">
        <f>'KW 37'!S23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6">
        <f>'KW 37'!S24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4">
        <f>'KW 37'!S26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5">
        <f>'KW 37'!S27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6">
        <f>'KW 37'!S28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34">
        <f>'KW 37'!S30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4">
        <f>'KW 37'!S35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D30">
    <cfRule type="expression" dxfId="356" priority="19" stopIfTrue="1">
      <formula>AND(NOT(OR(ISBLANK($A5),$A5="Summe ")),$C$1="altes Jahr")</formula>
    </cfRule>
    <cfRule type="expression" dxfId="355" priority="21" stopIfTrue="1">
      <formula>AND(NOT(OR(ISBLANK($A5),$A5="Summe ")),WEEKDAY($C$3,2)&gt;5)</formula>
    </cfRule>
  </conditionalFormatting>
  <conditionalFormatting sqref="E5:F30">
    <cfRule type="expression" dxfId="354" priority="16" stopIfTrue="1">
      <formula>AND(NOT(OR(ISBLANK($A5),$A5="Summe ")),$E$1="altes Jahr")</formula>
    </cfRule>
    <cfRule type="expression" dxfId="353" priority="18" stopIfTrue="1">
      <formula>AND(NOT(OR(ISBLANK($A5),$A5="Summe ")),WEEKDAY($E$3,2)&gt;5)</formula>
    </cfRule>
  </conditionalFormatting>
  <conditionalFormatting sqref="G5:H30">
    <cfRule type="expression" dxfId="352" priority="13" stopIfTrue="1">
      <formula>AND(NOT(OR(ISBLANK($A5),$A5="Summe ")),$G$1="altes Jahr")</formula>
    </cfRule>
    <cfRule type="expression" dxfId="351" priority="15" stopIfTrue="1">
      <formula>AND(NOT(OR(ISBLANK($A5),$A5="Summe ")),WEEKDAY($G$3,2)&gt;5)</formula>
    </cfRule>
  </conditionalFormatting>
  <conditionalFormatting sqref="I5:J30">
    <cfRule type="expression" dxfId="350" priority="10" stopIfTrue="1">
      <formula>AND(NOT(OR(ISBLANK($A5),$A5="Summe ")),$I$1="altes Jahr")</formula>
    </cfRule>
    <cfRule type="expression" dxfId="349" priority="12" stopIfTrue="1">
      <formula>AND(NOT(OR(ISBLANK($A5),$A5="Summe ")),WEEKDAY($I$3,2)&gt;5)</formula>
    </cfRule>
  </conditionalFormatting>
  <conditionalFormatting sqref="K5:L30">
    <cfRule type="expression" dxfId="348" priority="7" stopIfTrue="1">
      <formula>AND(NOT(OR(ISBLANK($A5),$A5="Summe ")),$K$1="altes Jahr")</formula>
    </cfRule>
    <cfRule type="expression" dxfId="347" priority="9" stopIfTrue="1">
      <formula>AND(NOT(OR(ISBLANK($A5),$A5="Summe ")),WEEKDAY($K$3,2)&gt;5)</formula>
    </cfRule>
  </conditionalFormatting>
  <conditionalFormatting sqref="M5:N30">
    <cfRule type="expression" dxfId="346" priority="4" stopIfTrue="1">
      <formula>AND(NOT(OR(ISBLANK($A5),$A5="Summe ")),$M$1="altes Jahr")</formula>
    </cfRule>
    <cfRule type="expression" dxfId="345" priority="6" stopIfTrue="1">
      <formula>AND(NOT(OR(ISBLANK($A5),$A5="Summe ")),WEEKDAY($M$3,2)&gt;5)</formula>
    </cfRule>
  </conditionalFormatting>
  <conditionalFormatting sqref="O5:P30">
    <cfRule type="expression" dxfId="344" priority="1" stopIfTrue="1">
      <formula>AND(NOT(OR(ISBLANK($A5),$A5="Summe ")),$O$1="altes Jahr")</formula>
    </cfRule>
    <cfRule type="expression" dxfId="343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2AF42DCF-BC97-4056-AB4A-73661648910B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75198C3C-4666-4320-B6FB-FAB5DDCFADC7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8AD51CEE-D2F0-4EC4-B16A-E7AFA45D4405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34D55F74-A219-4054-B627-FD3504C0B0D7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6B78B383-7E72-44A0-ADA0-7075780A49AC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32FE281F-3CEA-4519-A0FB-55D26663C160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1F9FBE51-F9A4-4194-85C9-864C44080845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Tabelle42"/>
  <dimension ref="A1:W37"/>
  <sheetViews>
    <sheetView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>Tag der deutschen Einheit</v>
      </c>
    </row>
    <row r="3" spans="1:23" ht="15.75" thickBot="1" x14ac:dyDescent="0.3">
      <c r="A3" s="178" t="s">
        <v>20</v>
      </c>
      <c r="B3" s="182" t="s">
        <v>21</v>
      </c>
      <c r="C3" s="91">
        <f>'KW 1'!$C$3+266</f>
        <v>44466</v>
      </c>
      <c r="D3" s="92">
        <f>C3</f>
        <v>44466</v>
      </c>
      <c r="E3" s="91">
        <f>C3+1</f>
        <v>44467</v>
      </c>
      <c r="F3" s="92">
        <f>E3</f>
        <v>44467</v>
      </c>
      <c r="G3" s="91">
        <f>C3+2</f>
        <v>44468</v>
      </c>
      <c r="H3" s="92">
        <f>G3</f>
        <v>44468</v>
      </c>
      <c r="I3" s="91">
        <f>C3+3</f>
        <v>44469</v>
      </c>
      <c r="J3" s="92">
        <f>I3</f>
        <v>44469</v>
      </c>
      <c r="K3" s="91">
        <f>C3+4</f>
        <v>44470</v>
      </c>
      <c r="L3" s="92">
        <f>K3</f>
        <v>44470</v>
      </c>
      <c r="M3" s="91">
        <f>C3+5</f>
        <v>44471</v>
      </c>
      <c r="N3" s="92">
        <f>M3</f>
        <v>44471</v>
      </c>
      <c r="O3" s="91">
        <f>C3+6</f>
        <v>44472</v>
      </c>
      <c r="P3" s="92">
        <f>O3</f>
        <v>44472</v>
      </c>
      <c r="Q3" s="14" t="s">
        <v>0</v>
      </c>
      <c r="R3" s="15" t="s">
        <v>0</v>
      </c>
      <c r="S3" s="178" t="s">
        <v>1</v>
      </c>
      <c r="T3" s="178" t="s">
        <v>2</v>
      </c>
      <c r="U3" s="180" t="s">
        <v>3</v>
      </c>
      <c r="V3" s="176"/>
      <c r="W3" s="176" t="s">
        <v>4</v>
      </c>
    </row>
    <row r="4" spans="1:23" ht="15.75" thickBot="1" x14ac:dyDescent="0.3">
      <c r="A4" s="179"/>
      <c r="B4" s="183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81"/>
      <c r="V4" s="177"/>
      <c r="W4" s="177"/>
    </row>
    <row r="5" spans="1:23" x14ac:dyDescent="0.25">
      <c r="A5" s="19" t="str">
        <f>Start!A5</f>
        <v>Postbearbeitung Bestand</v>
      </c>
      <c r="B5" s="134">
        <f>'KW 38'!S5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5">
        <f>'KW 38'!S6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6">
        <f>'KW 38'!S7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5">
        <f>'KW 38'!S9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5">
        <f>'KW 38'!S10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5">
        <f>'KW 38'!S11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5">
        <f>'KW 38'!S12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5">
        <f>'KW 38'!S14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.75" thickBot="1" x14ac:dyDescent="0.3">
      <c r="A15" s="29" t="str">
        <f>Start!A15</f>
        <v>Einfachaufträge</v>
      </c>
      <c r="B15" s="135">
        <f>'KW 38'!S15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5">
        <f>'KW 38'!S17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39">
        <f>'KW 38'!S20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4">
        <f>'KW 38'!S22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5">
        <f>'KW 38'!S23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6">
        <f>'KW 38'!S24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4">
        <f>'KW 38'!S26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5">
        <f>'KW 38'!S27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6">
        <f>'KW 38'!S28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39">
        <f>'KW 38'!S30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4">
        <f>'KW 38'!S35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D30">
    <cfRule type="expression" dxfId="335" priority="19" stopIfTrue="1">
      <formula>AND(NOT(OR(ISBLANK($A5),$A5="Summe ")),$C$1="altes Jahr")</formula>
    </cfRule>
    <cfRule type="expression" dxfId="334" priority="21" stopIfTrue="1">
      <formula>AND(NOT(OR(ISBLANK($A5),$A5="Summe ")),WEEKDAY($C$3,2)&gt;5)</formula>
    </cfRule>
  </conditionalFormatting>
  <conditionalFormatting sqref="E5:F30">
    <cfRule type="expression" dxfId="333" priority="16" stopIfTrue="1">
      <formula>AND(NOT(OR(ISBLANK($A5),$A5="Summe ")),$E$1="altes Jahr")</formula>
    </cfRule>
    <cfRule type="expression" dxfId="332" priority="18" stopIfTrue="1">
      <formula>AND(NOT(OR(ISBLANK($A5),$A5="Summe ")),WEEKDAY($E$3,2)&gt;5)</formula>
    </cfRule>
  </conditionalFormatting>
  <conditionalFormatting sqref="G5:H30">
    <cfRule type="expression" dxfId="331" priority="13" stopIfTrue="1">
      <formula>AND(NOT(OR(ISBLANK($A5),$A5="Summe ")),$G$1="altes Jahr")</formula>
    </cfRule>
    <cfRule type="expression" dxfId="330" priority="15" stopIfTrue="1">
      <formula>AND(NOT(OR(ISBLANK($A5),$A5="Summe ")),WEEKDAY($G$3,2)&gt;5)</formula>
    </cfRule>
  </conditionalFormatting>
  <conditionalFormatting sqref="I5:J30">
    <cfRule type="expression" dxfId="329" priority="10" stopIfTrue="1">
      <formula>AND(NOT(OR(ISBLANK($A5),$A5="Summe ")),$I$1="altes Jahr")</formula>
    </cfRule>
    <cfRule type="expression" dxfId="328" priority="12" stopIfTrue="1">
      <formula>AND(NOT(OR(ISBLANK($A5),$A5="Summe ")),WEEKDAY($I$3,2)&gt;5)</formula>
    </cfRule>
  </conditionalFormatting>
  <conditionalFormatting sqref="K5:L30">
    <cfRule type="expression" dxfId="327" priority="7" stopIfTrue="1">
      <formula>AND(NOT(OR(ISBLANK($A5),$A5="Summe ")),$K$1="altes Jahr")</formula>
    </cfRule>
    <cfRule type="expression" dxfId="326" priority="9" stopIfTrue="1">
      <formula>AND(NOT(OR(ISBLANK($A5),$A5="Summe ")),WEEKDAY($K$3,2)&gt;5)</formula>
    </cfRule>
  </conditionalFormatting>
  <conditionalFormatting sqref="M5:N30">
    <cfRule type="expression" dxfId="325" priority="4" stopIfTrue="1">
      <formula>AND(NOT(OR(ISBLANK($A5),$A5="Summe ")),$M$1="altes Jahr")</formula>
    </cfRule>
    <cfRule type="expression" dxfId="324" priority="6" stopIfTrue="1">
      <formula>AND(NOT(OR(ISBLANK($A5),$A5="Summe ")),WEEKDAY($M$3,2)&gt;5)</formula>
    </cfRule>
  </conditionalFormatting>
  <conditionalFormatting sqref="O5:P30">
    <cfRule type="expression" dxfId="323" priority="1" stopIfTrue="1">
      <formula>AND(NOT(OR(ISBLANK($A5),$A5="Summe ")),$O$1="altes Jahr")</formula>
    </cfRule>
    <cfRule type="expression" dxfId="322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8ACB5573-D5A4-4F30-BC86-9E54E0E9A825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2F0D9FF0-A3CC-4C58-B896-3CAEEBBCBFDA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3B75E2EE-C539-4178-A44A-3F2832726346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C726A097-77DE-4AC2-8050-A1F25E7C4D49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E5D84E18-2186-4B43-85BB-7B5D5F3AB332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C4EAC65F-C7C2-42E5-B0C1-3C78A167C7EF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917A9C20-8FE7-4A4F-868B-B5FE2AFC9AEA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Tabelle43"/>
  <dimension ref="A1:W37"/>
  <sheetViews>
    <sheetView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.75" thickBot="1" x14ac:dyDescent="0.3">
      <c r="A3" s="178" t="s">
        <v>20</v>
      </c>
      <c r="B3" s="182" t="s">
        <v>21</v>
      </c>
      <c r="C3" s="91">
        <f>'KW 1'!$C$3+273</f>
        <v>44473</v>
      </c>
      <c r="D3" s="92">
        <f>C3</f>
        <v>44473</v>
      </c>
      <c r="E3" s="91">
        <f>C3+1</f>
        <v>44474</v>
      </c>
      <c r="F3" s="92">
        <f>E3</f>
        <v>44474</v>
      </c>
      <c r="G3" s="91">
        <f>C3+2</f>
        <v>44475</v>
      </c>
      <c r="H3" s="92">
        <f>G3</f>
        <v>44475</v>
      </c>
      <c r="I3" s="91">
        <f>C3+3</f>
        <v>44476</v>
      </c>
      <c r="J3" s="92">
        <f>I3</f>
        <v>44476</v>
      </c>
      <c r="K3" s="91">
        <f>C3+4</f>
        <v>44477</v>
      </c>
      <c r="L3" s="92">
        <f>K3</f>
        <v>44477</v>
      </c>
      <c r="M3" s="91">
        <f>C3+5</f>
        <v>44478</v>
      </c>
      <c r="N3" s="92">
        <f>M3</f>
        <v>44478</v>
      </c>
      <c r="O3" s="91">
        <f>C3+6</f>
        <v>44479</v>
      </c>
      <c r="P3" s="92">
        <f>O3</f>
        <v>44479</v>
      </c>
      <c r="Q3" s="14" t="s">
        <v>0</v>
      </c>
      <c r="R3" s="15" t="s">
        <v>0</v>
      </c>
      <c r="S3" s="178" t="s">
        <v>1</v>
      </c>
      <c r="T3" s="178" t="s">
        <v>2</v>
      </c>
      <c r="U3" s="180" t="s">
        <v>3</v>
      </c>
      <c r="V3" s="176"/>
      <c r="W3" s="176" t="s">
        <v>4</v>
      </c>
    </row>
    <row r="4" spans="1:23" ht="15.75" thickBot="1" x14ac:dyDescent="0.3">
      <c r="A4" s="179"/>
      <c r="B4" s="183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81"/>
      <c r="V4" s="177"/>
      <c r="W4" s="177"/>
    </row>
    <row r="5" spans="1:23" x14ac:dyDescent="0.25">
      <c r="A5" s="19" t="str">
        <f>Start!A5</f>
        <v>Postbearbeitung Bestand</v>
      </c>
      <c r="B5" s="134">
        <f>'KW 39'!S5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5">
        <f>'KW 39'!S6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6">
        <f>'KW 39'!S7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5">
        <f>'KW 39'!S9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5">
        <f>'KW 39'!S10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5">
        <f>'KW 39'!S11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5">
        <f>'KW 39'!S12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5">
        <f>'KW 39'!S14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.75" thickBot="1" x14ac:dyDescent="0.3">
      <c r="A15" s="29" t="str">
        <f>Start!A15</f>
        <v>Einfachaufträge</v>
      </c>
      <c r="B15" s="135">
        <f>'KW 39'!S15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5">
        <f>'KW 39'!S17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39">
        <f>'KW 39'!S20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4">
        <f>'KW 39'!S22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5">
        <f>'KW 39'!S23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6">
        <f>'KW 39'!S24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4">
        <f>'KW 39'!S26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5">
        <f>'KW 39'!S27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6">
        <f>'KW 39'!S28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39">
        <f>'KW 39'!S30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4">
        <f>'KW 39'!S35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D30">
    <cfRule type="expression" dxfId="314" priority="19" stopIfTrue="1">
      <formula>AND(NOT(OR(ISBLANK($A5),$A5="Summe ")),$C$1="altes Jahr")</formula>
    </cfRule>
    <cfRule type="expression" dxfId="313" priority="21" stopIfTrue="1">
      <formula>AND(NOT(OR(ISBLANK($A5),$A5="Summe ")),WEEKDAY($C$3,2)&gt;5)</formula>
    </cfRule>
  </conditionalFormatting>
  <conditionalFormatting sqref="E5:F30">
    <cfRule type="expression" dxfId="312" priority="16" stopIfTrue="1">
      <formula>AND(NOT(OR(ISBLANK($A5),$A5="Summe ")),$E$1="altes Jahr")</formula>
    </cfRule>
    <cfRule type="expression" dxfId="311" priority="18" stopIfTrue="1">
      <formula>AND(NOT(OR(ISBLANK($A5),$A5="Summe ")),WEEKDAY($E$3,2)&gt;5)</formula>
    </cfRule>
  </conditionalFormatting>
  <conditionalFormatting sqref="G5:H30">
    <cfRule type="expression" dxfId="310" priority="13" stopIfTrue="1">
      <formula>AND(NOT(OR(ISBLANK($A5),$A5="Summe ")),$G$1="altes Jahr")</formula>
    </cfRule>
    <cfRule type="expression" dxfId="309" priority="15" stopIfTrue="1">
      <formula>AND(NOT(OR(ISBLANK($A5),$A5="Summe ")),WEEKDAY($G$3,2)&gt;5)</formula>
    </cfRule>
  </conditionalFormatting>
  <conditionalFormatting sqref="I5:J30">
    <cfRule type="expression" dxfId="308" priority="10" stopIfTrue="1">
      <formula>AND(NOT(OR(ISBLANK($A5),$A5="Summe ")),$I$1="altes Jahr")</formula>
    </cfRule>
    <cfRule type="expression" dxfId="307" priority="12" stopIfTrue="1">
      <formula>AND(NOT(OR(ISBLANK($A5),$A5="Summe ")),WEEKDAY($I$3,2)&gt;5)</formula>
    </cfRule>
  </conditionalFormatting>
  <conditionalFormatting sqref="K5:L30">
    <cfRule type="expression" dxfId="306" priority="7" stopIfTrue="1">
      <formula>AND(NOT(OR(ISBLANK($A5),$A5="Summe ")),$K$1="altes Jahr")</formula>
    </cfRule>
    <cfRule type="expression" dxfId="305" priority="9" stopIfTrue="1">
      <formula>AND(NOT(OR(ISBLANK($A5),$A5="Summe ")),WEEKDAY($K$3,2)&gt;5)</formula>
    </cfRule>
  </conditionalFormatting>
  <conditionalFormatting sqref="M5:N30">
    <cfRule type="expression" dxfId="304" priority="4" stopIfTrue="1">
      <formula>AND(NOT(OR(ISBLANK($A5),$A5="Summe ")),$M$1="altes Jahr")</formula>
    </cfRule>
    <cfRule type="expression" dxfId="303" priority="6" stopIfTrue="1">
      <formula>AND(NOT(OR(ISBLANK($A5),$A5="Summe ")),WEEKDAY($M$3,2)&gt;5)</formula>
    </cfRule>
  </conditionalFormatting>
  <conditionalFormatting sqref="O5:P30">
    <cfRule type="expression" dxfId="302" priority="1" stopIfTrue="1">
      <formula>AND(NOT(OR(ISBLANK($A5),$A5="Summe ")),$O$1="altes Jahr")</formula>
    </cfRule>
    <cfRule type="expression" dxfId="301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D8FFA86D-B9BB-4FF1-8E72-C3E872680C0A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32332814-90FE-4D8B-8793-7ABEE3873541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67BB247A-7182-4DD5-AF18-69139A823B20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917C5CD0-17AE-4489-90CA-00E9F97BCCBB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11093C76-234E-4D26-9491-FFE80B7D7224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EA6B8F62-308D-4401-9A13-7D6F30BB92B6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532631AB-DE3E-4AF3-85F8-F91D3F08EDE0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Tabelle44"/>
  <dimension ref="A1:W37"/>
  <sheetViews>
    <sheetView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.75" thickBot="1" x14ac:dyDescent="0.3">
      <c r="A3" s="178" t="s">
        <v>20</v>
      </c>
      <c r="B3" s="182" t="s">
        <v>21</v>
      </c>
      <c r="C3" s="91">
        <f>'KW 1'!$C$3+280</f>
        <v>44480</v>
      </c>
      <c r="D3" s="92">
        <f>C3</f>
        <v>44480</v>
      </c>
      <c r="E3" s="91">
        <f>C3+1</f>
        <v>44481</v>
      </c>
      <c r="F3" s="92">
        <f>E3</f>
        <v>44481</v>
      </c>
      <c r="G3" s="91">
        <f>C3+2</f>
        <v>44482</v>
      </c>
      <c r="H3" s="92">
        <f>G3</f>
        <v>44482</v>
      </c>
      <c r="I3" s="91">
        <f>C3+3</f>
        <v>44483</v>
      </c>
      <c r="J3" s="92">
        <f>I3</f>
        <v>44483</v>
      </c>
      <c r="K3" s="91">
        <f>C3+4</f>
        <v>44484</v>
      </c>
      <c r="L3" s="92">
        <f>K3</f>
        <v>44484</v>
      </c>
      <c r="M3" s="91">
        <f>C3+5</f>
        <v>44485</v>
      </c>
      <c r="N3" s="92">
        <f>M3</f>
        <v>44485</v>
      </c>
      <c r="O3" s="91">
        <f>C3+6</f>
        <v>44486</v>
      </c>
      <c r="P3" s="92">
        <f>O3</f>
        <v>44486</v>
      </c>
      <c r="Q3" s="14" t="s">
        <v>0</v>
      </c>
      <c r="R3" s="15" t="s">
        <v>0</v>
      </c>
      <c r="S3" s="178" t="s">
        <v>1</v>
      </c>
      <c r="T3" s="178" t="s">
        <v>2</v>
      </c>
      <c r="U3" s="180" t="s">
        <v>3</v>
      </c>
      <c r="V3" s="176"/>
      <c r="W3" s="176" t="s">
        <v>4</v>
      </c>
    </row>
    <row r="4" spans="1:23" ht="15.75" thickBot="1" x14ac:dyDescent="0.3">
      <c r="A4" s="179"/>
      <c r="B4" s="183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81"/>
      <c r="V4" s="177"/>
      <c r="W4" s="177"/>
    </row>
    <row r="5" spans="1:23" x14ac:dyDescent="0.25">
      <c r="A5" s="19" t="str">
        <f>Start!A5</f>
        <v>Postbearbeitung Bestand</v>
      </c>
      <c r="B5" s="134">
        <f>'KW 40'!S5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5">
        <f>'KW 40'!S6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6">
        <f>'KW 40'!S7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5">
        <f>'KW 40'!S9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5">
        <f>'KW 40'!S10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5">
        <f>'KW 40'!S11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5">
        <f>'KW 40'!S12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5">
        <f>'KW 40'!S14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.75" thickBot="1" x14ac:dyDescent="0.3">
      <c r="A15" s="29" t="str">
        <f>Start!A15</f>
        <v>Einfachaufträge</v>
      </c>
      <c r="B15" s="135">
        <f>'KW 40'!S15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5">
        <f>'KW 40'!S17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39">
        <f>'KW 40'!S20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4">
        <f>'KW 40'!S22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5">
        <f>'KW 40'!S23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6">
        <f>'KW 40'!S24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4">
        <f>'KW 40'!S26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5">
        <f>'KW 40'!S27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6">
        <f>'KW 40'!S28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39">
        <f>'KW 40'!S30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4">
        <f>'KW 40'!S35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D30">
    <cfRule type="expression" dxfId="293" priority="19" stopIfTrue="1">
      <formula>AND(NOT(OR(ISBLANK($A5),$A5="Summe ")),$C$1="altes Jahr")</formula>
    </cfRule>
    <cfRule type="expression" dxfId="292" priority="21" stopIfTrue="1">
      <formula>AND(NOT(OR(ISBLANK($A5),$A5="Summe ")),WEEKDAY($C$3,2)&gt;5)</formula>
    </cfRule>
  </conditionalFormatting>
  <conditionalFormatting sqref="E5:F30">
    <cfRule type="expression" dxfId="291" priority="16" stopIfTrue="1">
      <formula>AND(NOT(OR(ISBLANK($A5),$A5="Summe ")),$E$1="altes Jahr")</formula>
    </cfRule>
    <cfRule type="expression" dxfId="290" priority="18" stopIfTrue="1">
      <formula>AND(NOT(OR(ISBLANK($A5),$A5="Summe ")),WEEKDAY($E$3,2)&gt;5)</formula>
    </cfRule>
  </conditionalFormatting>
  <conditionalFormatting sqref="G5:H30">
    <cfRule type="expression" dxfId="289" priority="13" stopIfTrue="1">
      <formula>AND(NOT(OR(ISBLANK($A5),$A5="Summe ")),$G$1="altes Jahr")</formula>
    </cfRule>
    <cfRule type="expression" dxfId="288" priority="15" stopIfTrue="1">
      <formula>AND(NOT(OR(ISBLANK($A5),$A5="Summe ")),WEEKDAY($G$3,2)&gt;5)</formula>
    </cfRule>
  </conditionalFormatting>
  <conditionalFormatting sqref="I5:J30">
    <cfRule type="expression" dxfId="287" priority="10" stopIfTrue="1">
      <formula>AND(NOT(OR(ISBLANK($A5),$A5="Summe ")),$I$1="altes Jahr")</formula>
    </cfRule>
    <cfRule type="expression" dxfId="286" priority="12" stopIfTrue="1">
      <formula>AND(NOT(OR(ISBLANK($A5),$A5="Summe ")),WEEKDAY($I$3,2)&gt;5)</formula>
    </cfRule>
  </conditionalFormatting>
  <conditionalFormatting sqref="K5:L30">
    <cfRule type="expression" dxfId="285" priority="7" stopIfTrue="1">
      <formula>AND(NOT(OR(ISBLANK($A5),$A5="Summe ")),$K$1="altes Jahr")</formula>
    </cfRule>
    <cfRule type="expression" dxfId="284" priority="9" stopIfTrue="1">
      <formula>AND(NOT(OR(ISBLANK($A5),$A5="Summe ")),WEEKDAY($K$3,2)&gt;5)</formula>
    </cfRule>
  </conditionalFormatting>
  <conditionalFormatting sqref="M5:N30">
    <cfRule type="expression" dxfId="283" priority="4" stopIfTrue="1">
      <formula>AND(NOT(OR(ISBLANK($A5),$A5="Summe ")),$M$1="altes Jahr")</formula>
    </cfRule>
    <cfRule type="expression" dxfId="282" priority="6" stopIfTrue="1">
      <formula>AND(NOT(OR(ISBLANK($A5),$A5="Summe ")),WEEKDAY($M$3,2)&gt;5)</formula>
    </cfRule>
  </conditionalFormatting>
  <conditionalFormatting sqref="O5:P30">
    <cfRule type="expression" dxfId="281" priority="1" stopIfTrue="1">
      <formula>AND(NOT(OR(ISBLANK($A5),$A5="Summe ")),$O$1="altes Jahr")</formula>
    </cfRule>
    <cfRule type="expression" dxfId="280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80174A54-2A2C-4DD2-87F6-A2B127E69345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0BD12CD1-9E69-41D6-9166-2B562842A6CA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C982FE8E-23E9-4433-B71C-064C9D169DCB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D8EA0836-CDC6-4B2E-AD0B-11DE8BFE23C8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36409ABA-B3E0-44C2-8795-4E087DBEB9ED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E0635936-09CC-4419-86DB-AC60A81B5F70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B6FA2FAE-995C-4A6B-9975-67FE6654080F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Tabelle45"/>
  <dimension ref="A1:W37"/>
  <sheetViews>
    <sheetView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.75" thickBot="1" x14ac:dyDescent="0.3">
      <c r="A3" s="178" t="s">
        <v>20</v>
      </c>
      <c r="B3" s="182" t="s">
        <v>21</v>
      </c>
      <c r="C3" s="91">
        <f>'KW 1'!$C$3+287</f>
        <v>44487</v>
      </c>
      <c r="D3" s="92">
        <f>C3</f>
        <v>44487</v>
      </c>
      <c r="E3" s="91">
        <f>C3+1</f>
        <v>44488</v>
      </c>
      <c r="F3" s="92">
        <f>E3</f>
        <v>44488</v>
      </c>
      <c r="G3" s="91">
        <f>C3+2</f>
        <v>44489</v>
      </c>
      <c r="H3" s="92">
        <f>G3</f>
        <v>44489</v>
      </c>
      <c r="I3" s="91">
        <f>C3+3</f>
        <v>44490</v>
      </c>
      <c r="J3" s="92">
        <f>I3</f>
        <v>44490</v>
      </c>
      <c r="K3" s="91">
        <f>C3+4</f>
        <v>44491</v>
      </c>
      <c r="L3" s="92">
        <f>K3</f>
        <v>44491</v>
      </c>
      <c r="M3" s="91">
        <f>C3+5</f>
        <v>44492</v>
      </c>
      <c r="N3" s="92">
        <f>M3</f>
        <v>44492</v>
      </c>
      <c r="O3" s="91">
        <f>C3+6</f>
        <v>44493</v>
      </c>
      <c r="P3" s="92">
        <f>O3</f>
        <v>44493</v>
      </c>
      <c r="Q3" s="14" t="s">
        <v>0</v>
      </c>
      <c r="R3" s="15" t="s">
        <v>0</v>
      </c>
      <c r="S3" s="178" t="s">
        <v>1</v>
      </c>
      <c r="T3" s="178" t="s">
        <v>2</v>
      </c>
      <c r="U3" s="180" t="s">
        <v>3</v>
      </c>
      <c r="V3" s="176"/>
      <c r="W3" s="176" t="s">
        <v>4</v>
      </c>
    </row>
    <row r="4" spans="1:23" ht="15.75" thickBot="1" x14ac:dyDescent="0.3">
      <c r="A4" s="179"/>
      <c r="B4" s="183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81"/>
      <c r="V4" s="177"/>
      <c r="W4" s="177"/>
    </row>
    <row r="5" spans="1:23" x14ac:dyDescent="0.25">
      <c r="A5" s="19" t="str">
        <f>Start!A5</f>
        <v>Postbearbeitung Bestand</v>
      </c>
      <c r="B5" s="134">
        <f>'KW 41'!S5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5">
        <f>'KW 41'!S6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6">
        <f>'KW 41'!S7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5">
        <f>'KW 41'!S9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5">
        <f>'KW 41'!S10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5">
        <f>'KW 41'!S11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5">
        <f>'KW 41'!S12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5">
        <f>'KW 41'!S14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.75" thickBot="1" x14ac:dyDescent="0.3">
      <c r="A15" s="29" t="str">
        <f>Start!A15</f>
        <v>Einfachaufträge</v>
      </c>
      <c r="B15" s="135">
        <f>'KW 41'!S15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5">
        <f>'KW 41'!S17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39">
        <f>'KW 41'!S20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4">
        <f>'KW 41'!S22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5">
        <f>'KW 41'!S23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6">
        <f>'KW 41'!S24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4">
        <f>'KW 41'!S26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5">
        <f>'KW 41'!S27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6">
        <f>'KW 41'!S28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39">
        <f>'KW 41'!S30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4">
        <f>'KW 41'!S35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D30">
    <cfRule type="expression" dxfId="272" priority="19" stopIfTrue="1">
      <formula>AND(NOT(OR(ISBLANK($A5),$A5="Summe ")),$C$1="altes Jahr")</formula>
    </cfRule>
    <cfRule type="expression" dxfId="271" priority="21" stopIfTrue="1">
      <formula>AND(NOT(OR(ISBLANK($A5),$A5="Summe ")),WEEKDAY($C$3,2)&gt;5)</formula>
    </cfRule>
  </conditionalFormatting>
  <conditionalFormatting sqref="E5:F30">
    <cfRule type="expression" dxfId="270" priority="16" stopIfTrue="1">
      <formula>AND(NOT(OR(ISBLANK($A5),$A5="Summe ")),$E$1="altes Jahr")</formula>
    </cfRule>
    <cfRule type="expression" dxfId="269" priority="18" stopIfTrue="1">
      <formula>AND(NOT(OR(ISBLANK($A5),$A5="Summe ")),WEEKDAY($E$3,2)&gt;5)</formula>
    </cfRule>
  </conditionalFormatting>
  <conditionalFormatting sqref="G5:H30">
    <cfRule type="expression" dxfId="268" priority="13" stopIfTrue="1">
      <formula>AND(NOT(OR(ISBLANK($A5),$A5="Summe ")),$G$1="altes Jahr")</formula>
    </cfRule>
    <cfRule type="expression" dxfId="267" priority="15" stopIfTrue="1">
      <formula>AND(NOT(OR(ISBLANK($A5),$A5="Summe ")),WEEKDAY($G$3,2)&gt;5)</formula>
    </cfRule>
  </conditionalFormatting>
  <conditionalFormatting sqref="I5:J30">
    <cfRule type="expression" dxfId="266" priority="10" stopIfTrue="1">
      <formula>AND(NOT(OR(ISBLANK($A5),$A5="Summe ")),$I$1="altes Jahr")</formula>
    </cfRule>
    <cfRule type="expression" dxfId="265" priority="12" stopIfTrue="1">
      <formula>AND(NOT(OR(ISBLANK($A5),$A5="Summe ")),WEEKDAY($I$3,2)&gt;5)</formula>
    </cfRule>
  </conditionalFormatting>
  <conditionalFormatting sqref="K5:L30">
    <cfRule type="expression" dxfId="264" priority="7" stopIfTrue="1">
      <formula>AND(NOT(OR(ISBLANK($A5),$A5="Summe ")),$K$1="altes Jahr")</formula>
    </cfRule>
    <cfRule type="expression" dxfId="263" priority="9" stopIfTrue="1">
      <formula>AND(NOT(OR(ISBLANK($A5),$A5="Summe ")),WEEKDAY($K$3,2)&gt;5)</formula>
    </cfRule>
  </conditionalFormatting>
  <conditionalFormatting sqref="M5:N30">
    <cfRule type="expression" dxfId="262" priority="4" stopIfTrue="1">
      <formula>AND(NOT(OR(ISBLANK($A5),$A5="Summe ")),$M$1="altes Jahr")</formula>
    </cfRule>
    <cfRule type="expression" dxfId="261" priority="6" stopIfTrue="1">
      <formula>AND(NOT(OR(ISBLANK($A5),$A5="Summe ")),WEEKDAY($M$3,2)&gt;5)</formula>
    </cfRule>
  </conditionalFormatting>
  <conditionalFormatting sqref="O5:P30">
    <cfRule type="expression" dxfId="260" priority="1" stopIfTrue="1">
      <formula>AND(NOT(OR(ISBLANK($A5),$A5="Summe ")),$O$1="altes Jahr")</formula>
    </cfRule>
    <cfRule type="expression" dxfId="259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2A3C05B5-7442-4744-ACC1-40A2D5B479A0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B44900ED-2FA7-49A7-85C4-61851F157E89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2A352382-ED2D-4EB9-BABF-FBD08654CE68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CE177286-F206-4B93-B53D-460A285DF68E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7B82816B-F452-402B-9CB4-F979CC1A927B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E7BCDBCF-5C63-4E7E-AC9E-36318364334A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79EE5D28-B138-403E-A597-8A3B0B4FA2DE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Tabelle46"/>
  <dimension ref="A1:W37"/>
  <sheetViews>
    <sheetView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.75" thickBot="1" x14ac:dyDescent="0.3">
      <c r="A3" s="178" t="s">
        <v>20</v>
      </c>
      <c r="B3" s="182" t="s">
        <v>21</v>
      </c>
      <c r="C3" s="91">
        <f>'KW 1'!$C$3+294</f>
        <v>44494</v>
      </c>
      <c r="D3" s="92">
        <f>C3</f>
        <v>44494</v>
      </c>
      <c r="E3" s="91">
        <f>C3+1</f>
        <v>44495</v>
      </c>
      <c r="F3" s="92">
        <f>E3</f>
        <v>44495</v>
      </c>
      <c r="G3" s="91">
        <f>C3+2</f>
        <v>44496</v>
      </c>
      <c r="H3" s="92">
        <f>G3</f>
        <v>44496</v>
      </c>
      <c r="I3" s="91">
        <f>C3+3</f>
        <v>44497</v>
      </c>
      <c r="J3" s="92">
        <f>I3</f>
        <v>44497</v>
      </c>
      <c r="K3" s="91">
        <f>C3+4</f>
        <v>44498</v>
      </c>
      <c r="L3" s="92">
        <f>K3</f>
        <v>44498</v>
      </c>
      <c r="M3" s="91">
        <f>C3+5</f>
        <v>44499</v>
      </c>
      <c r="N3" s="92">
        <f>M3</f>
        <v>44499</v>
      </c>
      <c r="O3" s="91">
        <f>C3+6</f>
        <v>44500</v>
      </c>
      <c r="P3" s="92">
        <f>O3</f>
        <v>44500</v>
      </c>
      <c r="Q3" s="14" t="s">
        <v>0</v>
      </c>
      <c r="R3" s="15" t="s">
        <v>0</v>
      </c>
      <c r="S3" s="178" t="s">
        <v>1</v>
      </c>
      <c r="T3" s="178" t="s">
        <v>2</v>
      </c>
      <c r="U3" s="180" t="s">
        <v>3</v>
      </c>
      <c r="V3" s="176"/>
      <c r="W3" s="176" t="s">
        <v>4</v>
      </c>
    </row>
    <row r="4" spans="1:23" ht="15.75" thickBot="1" x14ac:dyDescent="0.3">
      <c r="A4" s="179"/>
      <c r="B4" s="183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81"/>
      <c r="V4" s="177"/>
      <c r="W4" s="177"/>
    </row>
    <row r="5" spans="1:23" x14ac:dyDescent="0.25">
      <c r="A5" s="19" t="str">
        <f>Start!A5</f>
        <v>Postbearbeitung Bestand</v>
      </c>
      <c r="B5" s="134">
        <f>'KW 42'!S5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5">
        <f>'KW 42'!S6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6">
        <f>'KW 42'!S7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5">
        <f>'KW 42'!S9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5">
        <f>'KW 42'!S10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5">
        <f>'KW 42'!S11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5">
        <f>'KW 42'!S12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5">
        <f>'KW 42'!S14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.75" thickBot="1" x14ac:dyDescent="0.3">
      <c r="A15" s="29" t="str">
        <f>Start!A15</f>
        <v>Einfachaufträge</v>
      </c>
      <c r="B15" s="135">
        <f>'KW 42'!S15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5">
        <f>'KW 42'!S17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39">
        <f>'KW 42'!S20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4">
        <f>'KW 42'!S22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5">
        <f>'KW 42'!S23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6">
        <f>'KW 42'!S24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4">
        <f>'KW 42'!S26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5">
        <f>'KW 42'!S27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6">
        <f>'KW 42'!S28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39">
        <f>'KW 42'!S30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4">
        <f>'KW 42'!S35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D30">
    <cfRule type="expression" dxfId="251" priority="19" stopIfTrue="1">
      <formula>AND(NOT(OR(ISBLANK($A5),$A5="Summe ")),$C$1="altes Jahr")</formula>
    </cfRule>
    <cfRule type="expression" dxfId="250" priority="21" stopIfTrue="1">
      <formula>AND(NOT(OR(ISBLANK($A5),$A5="Summe ")),WEEKDAY($C$3,2)&gt;5)</formula>
    </cfRule>
  </conditionalFormatting>
  <conditionalFormatting sqref="E5:F30">
    <cfRule type="expression" dxfId="249" priority="16" stopIfTrue="1">
      <formula>AND(NOT(OR(ISBLANK($A5),$A5="Summe ")),$E$1="altes Jahr")</formula>
    </cfRule>
    <cfRule type="expression" dxfId="248" priority="18" stopIfTrue="1">
      <formula>AND(NOT(OR(ISBLANK($A5),$A5="Summe ")),WEEKDAY($E$3,2)&gt;5)</formula>
    </cfRule>
  </conditionalFormatting>
  <conditionalFormatting sqref="G5:H30">
    <cfRule type="expression" dxfId="247" priority="13" stopIfTrue="1">
      <formula>AND(NOT(OR(ISBLANK($A5),$A5="Summe ")),$G$1="altes Jahr")</formula>
    </cfRule>
    <cfRule type="expression" dxfId="246" priority="15" stopIfTrue="1">
      <formula>AND(NOT(OR(ISBLANK($A5),$A5="Summe ")),WEEKDAY($G$3,2)&gt;5)</formula>
    </cfRule>
  </conditionalFormatting>
  <conditionalFormatting sqref="I5:J30">
    <cfRule type="expression" dxfId="245" priority="10" stopIfTrue="1">
      <formula>AND(NOT(OR(ISBLANK($A5),$A5="Summe ")),$I$1="altes Jahr")</formula>
    </cfRule>
    <cfRule type="expression" dxfId="244" priority="12" stopIfTrue="1">
      <formula>AND(NOT(OR(ISBLANK($A5),$A5="Summe ")),WEEKDAY($I$3,2)&gt;5)</formula>
    </cfRule>
  </conditionalFormatting>
  <conditionalFormatting sqref="K5:L30">
    <cfRule type="expression" dxfId="243" priority="7" stopIfTrue="1">
      <formula>AND(NOT(OR(ISBLANK($A5),$A5="Summe ")),$K$1="altes Jahr")</formula>
    </cfRule>
    <cfRule type="expression" dxfId="242" priority="9" stopIfTrue="1">
      <formula>AND(NOT(OR(ISBLANK($A5),$A5="Summe ")),WEEKDAY($K$3,2)&gt;5)</formula>
    </cfRule>
  </conditionalFormatting>
  <conditionalFormatting sqref="M5:N30">
    <cfRule type="expression" dxfId="241" priority="4" stopIfTrue="1">
      <formula>AND(NOT(OR(ISBLANK($A5),$A5="Summe ")),$M$1="altes Jahr")</formula>
    </cfRule>
    <cfRule type="expression" dxfId="240" priority="6" stopIfTrue="1">
      <formula>AND(NOT(OR(ISBLANK($A5),$A5="Summe ")),WEEKDAY($M$3,2)&gt;5)</formula>
    </cfRule>
  </conditionalFormatting>
  <conditionalFormatting sqref="O5:P30">
    <cfRule type="expression" dxfId="239" priority="1" stopIfTrue="1">
      <formula>AND(NOT(OR(ISBLANK($A5),$A5="Summe ")),$O$1="altes Jahr")</formula>
    </cfRule>
    <cfRule type="expression" dxfId="238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570A5F16-50D9-442A-9EDC-CFE066F6E584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FDF072E0-3BAA-4DE8-B4B8-51C36A507CAF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E54D50A8-87CF-44C1-8C5D-FA774FE854E4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130D0109-DF50-4F37-908E-7DBF8C212723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B1654455-612F-4AF8-B620-D8DF289BEC15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D9CECEDC-156A-4F4F-A0DB-71C3115F940D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E7740FFC-D383-4CD3-A9EC-DF2AD605FC23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Tabelle47"/>
  <dimension ref="A1:W37"/>
  <sheetViews>
    <sheetView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.75" thickBot="1" x14ac:dyDescent="0.3">
      <c r="A2" s="6"/>
      <c r="C2" s="122">
        <f>YEAR(C3)</f>
        <v>2021</v>
      </c>
      <c r="D2" s="119" t="str">
        <f>IFERROR(VLOOKUP(C3,Start!$F$2:$G$22,2,0),"")</f>
        <v>Allerheiligen</v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.75" thickBot="1" x14ac:dyDescent="0.3">
      <c r="A3" s="178" t="s">
        <v>20</v>
      </c>
      <c r="B3" s="182" t="s">
        <v>21</v>
      </c>
      <c r="C3" s="91">
        <f>'KW 1'!$C$3+301</f>
        <v>44501</v>
      </c>
      <c r="D3" s="92">
        <f>C3</f>
        <v>44501</v>
      </c>
      <c r="E3" s="91">
        <f>C3+1</f>
        <v>44502</v>
      </c>
      <c r="F3" s="92">
        <f>E3</f>
        <v>44502</v>
      </c>
      <c r="G3" s="91">
        <f>C3+2</f>
        <v>44503</v>
      </c>
      <c r="H3" s="92">
        <f>G3</f>
        <v>44503</v>
      </c>
      <c r="I3" s="91">
        <f>C3+3</f>
        <v>44504</v>
      </c>
      <c r="J3" s="92">
        <f>I3</f>
        <v>44504</v>
      </c>
      <c r="K3" s="91">
        <f>C3+4</f>
        <v>44505</v>
      </c>
      <c r="L3" s="92">
        <f>K3</f>
        <v>44505</v>
      </c>
      <c r="M3" s="91">
        <f>C3+5</f>
        <v>44506</v>
      </c>
      <c r="N3" s="92">
        <f>M3</f>
        <v>44506</v>
      </c>
      <c r="O3" s="91">
        <f>C3+6</f>
        <v>44507</v>
      </c>
      <c r="P3" s="92">
        <f>O3</f>
        <v>44507</v>
      </c>
      <c r="Q3" s="14" t="s">
        <v>0</v>
      </c>
      <c r="R3" s="15" t="s">
        <v>0</v>
      </c>
      <c r="S3" s="178" t="s">
        <v>1</v>
      </c>
      <c r="T3" s="178" t="s">
        <v>2</v>
      </c>
      <c r="U3" s="180" t="s">
        <v>3</v>
      </c>
      <c r="V3" s="176"/>
      <c r="W3" s="176" t="s">
        <v>4</v>
      </c>
    </row>
    <row r="4" spans="1:23" ht="15.75" thickBot="1" x14ac:dyDescent="0.3">
      <c r="A4" s="179"/>
      <c r="B4" s="183"/>
      <c r="C4" s="17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81"/>
      <c r="V4" s="177"/>
      <c r="W4" s="177"/>
    </row>
    <row r="5" spans="1:23" x14ac:dyDescent="0.25">
      <c r="A5" s="19" t="str">
        <f>Start!A5</f>
        <v>Postbearbeitung Bestand</v>
      </c>
      <c r="B5" s="134">
        <f>'KW 43'!S5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5">
        <f>'KW 43'!S6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6">
        <f>'KW 43'!S7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37"/>
      <c r="C8" s="137"/>
      <c r="D8" s="137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5">
        <f>'KW 43'!S9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5">
        <f>'KW 43'!S10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5">
        <f>'KW 43'!S11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5">
        <f>'KW 43'!S12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38"/>
      <c r="C13" s="138"/>
      <c r="D13" s="13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5">
        <f>'KW 43'!S14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.75" thickBot="1" x14ac:dyDescent="0.3">
      <c r="A15" s="29" t="str">
        <f>Start!A15</f>
        <v>Einfachaufträge</v>
      </c>
      <c r="B15" s="135">
        <f>'KW 43'!S15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">
      <c r="A16" s="34"/>
      <c r="B16" s="138"/>
      <c r="C16" s="127"/>
      <c r="D16" s="127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5">
        <f>'KW 43'!S17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138">
        <f>SUM(B5:B17)</f>
        <v>2</v>
      </c>
      <c r="C18" s="138">
        <f>SUM(C5:C17)</f>
        <v>0</v>
      </c>
      <c r="D18" s="13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1"/>
      <c r="C19" s="128"/>
      <c r="D19" s="128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39">
        <f>'KW 43'!S20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37"/>
      <c r="C21" s="137"/>
      <c r="D21" s="137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4">
        <f>'KW 43'!S22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5">
        <f>'KW 43'!S23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6">
        <f>'KW 43'!S24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37"/>
      <c r="C25" s="137"/>
      <c r="D25" s="137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4">
        <f>'KW 43'!S26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5">
        <f>'KW 43'!S27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6">
        <f>'KW 43'!S28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3"/>
      <c r="C29" s="143"/>
      <c r="D29" s="14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39">
        <f>'KW 43'!S30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C32" s="129"/>
      <c r="D32" s="129"/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4">
        <f>'KW 43'!S35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D30">
    <cfRule type="expression" dxfId="230" priority="19" stopIfTrue="1">
      <formula>AND(NOT(OR(ISBLANK($A5),$A5="Summe ")),$C$1="altes Jahr")</formula>
    </cfRule>
    <cfRule type="expression" dxfId="229" priority="21" stopIfTrue="1">
      <formula>AND(NOT(OR(ISBLANK($A5),$A5="Summe ")),WEEKDAY($C$3,2)&gt;5)</formula>
    </cfRule>
  </conditionalFormatting>
  <conditionalFormatting sqref="E5:F30">
    <cfRule type="expression" dxfId="228" priority="16" stopIfTrue="1">
      <formula>AND(NOT(OR(ISBLANK($A5),$A5="Summe ")),$E$1="altes Jahr")</formula>
    </cfRule>
    <cfRule type="expression" dxfId="227" priority="18" stopIfTrue="1">
      <formula>AND(NOT(OR(ISBLANK($A5),$A5="Summe ")),WEEKDAY($E$3,2)&gt;5)</formula>
    </cfRule>
  </conditionalFormatting>
  <conditionalFormatting sqref="G5:H30">
    <cfRule type="expression" dxfId="226" priority="13" stopIfTrue="1">
      <formula>AND(NOT(OR(ISBLANK($A5),$A5="Summe ")),$G$1="altes Jahr")</formula>
    </cfRule>
    <cfRule type="expression" dxfId="225" priority="15" stopIfTrue="1">
      <formula>AND(NOT(OR(ISBLANK($A5),$A5="Summe ")),WEEKDAY($G$3,2)&gt;5)</formula>
    </cfRule>
  </conditionalFormatting>
  <conditionalFormatting sqref="I5:J30">
    <cfRule type="expression" dxfId="224" priority="10" stopIfTrue="1">
      <formula>AND(NOT(OR(ISBLANK($A5),$A5="Summe ")),$I$1="altes Jahr")</formula>
    </cfRule>
    <cfRule type="expression" dxfId="223" priority="12" stopIfTrue="1">
      <formula>AND(NOT(OR(ISBLANK($A5),$A5="Summe ")),WEEKDAY($I$3,2)&gt;5)</formula>
    </cfRule>
  </conditionalFormatting>
  <conditionalFormatting sqref="K5:L30">
    <cfRule type="expression" dxfId="222" priority="7" stopIfTrue="1">
      <formula>AND(NOT(OR(ISBLANK($A5),$A5="Summe ")),$K$1="altes Jahr")</formula>
    </cfRule>
    <cfRule type="expression" dxfId="221" priority="9" stopIfTrue="1">
      <formula>AND(NOT(OR(ISBLANK($A5),$A5="Summe ")),WEEKDAY($K$3,2)&gt;5)</formula>
    </cfRule>
  </conditionalFormatting>
  <conditionalFormatting sqref="M5:N30">
    <cfRule type="expression" dxfId="220" priority="4" stopIfTrue="1">
      <formula>AND(NOT(OR(ISBLANK($A5),$A5="Summe ")),$M$1="altes Jahr")</formula>
    </cfRule>
    <cfRule type="expression" dxfId="219" priority="6" stopIfTrue="1">
      <formula>AND(NOT(OR(ISBLANK($A5),$A5="Summe ")),WEEKDAY($M$3,2)&gt;5)</formula>
    </cfRule>
  </conditionalFormatting>
  <conditionalFormatting sqref="O5:P30">
    <cfRule type="expression" dxfId="218" priority="1" stopIfTrue="1">
      <formula>AND(NOT(OR(ISBLANK($A5),$A5="Summe ")),$O$1="altes Jahr")</formula>
    </cfRule>
    <cfRule type="expression" dxfId="217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C8BF3A78-9757-4E5D-94D3-0520B8E43581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787ACA5E-78F1-4721-BBD6-873539E97B10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407BB9BF-E70E-4E8D-9B4D-D203D8BA761E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134D8900-4E95-41AD-AED8-925CF1FA5A1C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545EC7E8-418A-4DC8-9D5A-42C61B13750C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D14EC6B7-96F4-4245-84AD-4DCB2F0B3504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5BF34867-7307-4C90-8DFE-3256D9B941DB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Tabelle48"/>
  <dimension ref="A1:W37"/>
  <sheetViews>
    <sheetView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.75" thickBot="1" x14ac:dyDescent="0.3">
      <c r="A3" s="178" t="s">
        <v>20</v>
      </c>
      <c r="B3" s="182" t="s">
        <v>21</v>
      </c>
      <c r="C3" s="91">
        <f>'KW 1'!$C$3+308</f>
        <v>44508</v>
      </c>
      <c r="D3" s="92">
        <f>C3</f>
        <v>44508</v>
      </c>
      <c r="E3" s="91">
        <f>C3+1</f>
        <v>44509</v>
      </c>
      <c r="F3" s="92">
        <f>E3</f>
        <v>44509</v>
      </c>
      <c r="G3" s="91">
        <f>C3+2</f>
        <v>44510</v>
      </c>
      <c r="H3" s="92">
        <f>G3</f>
        <v>44510</v>
      </c>
      <c r="I3" s="91">
        <f>C3+3</f>
        <v>44511</v>
      </c>
      <c r="J3" s="92">
        <f>I3</f>
        <v>44511</v>
      </c>
      <c r="K3" s="91">
        <f>C3+4</f>
        <v>44512</v>
      </c>
      <c r="L3" s="92">
        <f>K3</f>
        <v>44512</v>
      </c>
      <c r="M3" s="91">
        <f>C3+5</f>
        <v>44513</v>
      </c>
      <c r="N3" s="92">
        <f>M3</f>
        <v>44513</v>
      </c>
      <c r="O3" s="91">
        <f>C3+6</f>
        <v>44514</v>
      </c>
      <c r="P3" s="92">
        <f>O3</f>
        <v>44514</v>
      </c>
      <c r="Q3" s="14" t="s">
        <v>0</v>
      </c>
      <c r="R3" s="15" t="s">
        <v>0</v>
      </c>
      <c r="S3" s="178" t="s">
        <v>1</v>
      </c>
      <c r="T3" s="178" t="s">
        <v>2</v>
      </c>
      <c r="U3" s="180" t="s">
        <v>3</v>
      </c>
      <c r="V3" s="176"/>
      <c r="W3" s="176" t="s">
        <v>4</v>
      </c>
    </row>
    <row r="4" spans="1:23" ht="15.75" thickBot="1" x14ac:dyDescent="0.3">
      <c r="A4" s="179"/>
      <c r="B4" s="183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81"/>
      <c r="V4" s="177"/>
      <c r="W4" s="177"/>
    </row>
    <row r="5" spans="1:23" x14ac:dyDescent="0.25">
      <c r="A5" s="19" t="str">
        <f>Start!A5</f>
        <v>Postbearbeitung Bestand</v>
      </c>
      <c r="B5" s="134">
        <f>'KW 44'!S5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5">
        <f>'KW 44'!S6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6">
        <f>'KW 44'!S7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5">
        <f>'KW 44'!S9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5">
        <f>'KW 44'!S10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5">
        <f>'KW 44'!S11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5">
        <f>'KW 44'!S12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5">
        <f>'KW 44'!S14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4.1" customHeight="1" thickBot="1" x14ac:dyDescent="0.3">
      <c r="A15" s="29" t="str">
        <f>Start!A15</f>
        <v>Einfachaufträge</v>
      </c>
      <c r="B15" s="135">
        <f>'KW 44'!S15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5">
        <f>'KW 44'!S17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39">
        <f>'KW 44'!S20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4">
        <f>'KW 44'!S22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5">
        <f>'KW 44'!S23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6">
        <f>'KW 44'!S24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4">
        <f>'KW 44'!S26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5">
        <f>'KW 44'!S27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6">
        <f>'KW 44'!S28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39">
        <f>'KW 44'!S30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4">
        <f>'KW 44'!S35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D30">
    <cfRule type="expression" dxfId="209" priority="19" stopIfTrue="1">
      <formula>AND(NOT(OR(ISBLANK($A5),$A5="Summe ")),$C$1="altes Jahr")</formula>
    </cfRule>
    <cfRule type="expression" dxfId="208" priority="21" stopIfTrue="1">
      <formula>AND(NOT(OR(ISBLANK($A5),$A5="Summe ")),WEEKDAY($C$3,2)&gt;5)</formula>
    </cfRule>
  </conditionalFormatting>
  <conditionalFormatting sqref="E5:F30">
    <cfRule type="expression" dxfId="207" priority="16" stopIfTrue="1">
      <formula>AND(NOT(OR(ISBLANK($A5),$A5="Summe ")),$E$1="altes Jahr")</formula>
    </cfRule>
    <cfRule type="expression" dxfId="206" priority="18" stopIfTrue="1">
      <formula>AND(NOT(OR(ISBLANK($A5),$A5="Summe ")),WEEKDAY($E$3,2)&gt;5)</formula>
    </cfRule>
  </conditionalFormatting>
  <conditionalFormatting sqref="G5:H30">
    <cfRule type="expression" dxfId="205" priority="13" stopIfTrue="1">
      <formula>AND(NOT(OR(ISBLANK($A5),$A5="Summe ")),$G$1="altes Jahr")</formula>
    </cfRule>
    <cfRule type="expression" dxfId="204" priority="15" stopIfTrue="1">
      <formula>AND(NOT(OR(ISBLANK($A5),$A5="Summe ")),WEEKDAY($G$3,2)&gt;5)</formula>
    </cfRule>
  </conditionalFormatting>
  <conditionalFormatting sqref="I5:J30">
    <cfRule type="expression" dxfId="203" priority="10" stopIfTrue="1">
      <formula>AND(NOT(OR(ISBLANK($A5),$A5="Summe ")),$I$1="altes Jahr")</formula>
    </cfRule>
    <cfRule type="expression" dxfId="202" priority="12" stopIfTrue="1">
      <formula>AND(NOT(OR(ISBLANK($A5),$A5="Summe ")),WEEKDAY($I$3,2)&gt;5)</formula>
    </cfRule>
  </conditionalFormatting>
  <conditionalFormatting sqref="K5:L30">
    <cfRule type="expression" dxfId="201" priority="7" stopIfTrue="1">
      <formula>AND(NOT(OR(ISBLANK($A5),$A5="Summe ")),$K$1="altes Jahr")</formula>
    </cfRule>
    <cfRule type="expression" dxfId="200" priority="9" stopIfTrue="1">
      <formula>AND(NOT(OR(ISBLANK($A5),$A5="Summe ")),WEEKDAY($K$3,2)&gt;5)</formula>
    </cfRule>
  </conditionalFormatting>
  <conditionalFormatting sqref="M5:N30">
    <cfRule type="expression" dxfId="199" priority="4" stopIfTrue="1">
      <formula>AND(NOT(OR(ISBLANK($A5),$A5="Summe ")),$M$1="altes Jahr")</formula>
    </cfRule>
    <cfRule type="expression" dxfId="198" priority="6" stopIfTrue="1">
      <formula>AND(NOT(OR(ISBLANK($A5),$A5="Summe ")),WEEKDAY($M$3,2)&gt;5)</formula>
    </cfRule>
  </conditionalFormatting>
  <conditionalFormatting sqref="O5:P30">
    <cfRule type="expression" dxfId="197" priority="1" stopIfTrue="1">
      <formula>AND(NOT(OR(ISBLANK($A5),$A5="Summe ")),$O$1="altes Jahr")</formula>
    </cfRule>
    <cfRule type="expression" dxfId="196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7B95DCE6-1844-47AB-B42E-D3F2FF2109EB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625B281C-0963-445E-99E6-BA33F36C1D75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54769D5E-7044-443B-9CB6-417C55FB7775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39603B4B-A3BB-4B88-AF35-864BD6D0BBA7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E35CE5AC-75FB-46F7-8B3D-31D796E12110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F6F3EA07-D314-4717-9275-FC39B331CA34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25F44DFC-7A1A-4779-B95A-740CA9540152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Tabelle49"/>
  <dimension ref="A1:W37"/>
  <sheetViews>
    <sheetView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.75" thickBot="1" x14ac:dyDescent="0.3">
      <c r="A3" s="178" t="s">
        <v>20</v>
      </c>
      <c r="B3" s="182" t="s">
        <v>21</v>
      </c>
      <c r="C3" s="91">
        <f>'KW 1'!$C$3+315</f>
        <v>44515</v>
      </c>
      <c r="D3" s="92">
        <f>C3</f>
        <v>44515</v>
      </c>
      <c r="E3" s="91">
        <f>C3+1</f>
        <v>44516</v>
      </c>
      <c r="F3" s="92">
        <f>E3</f>
        <v>44516</v>
      </c>
      <c r="G3" s="91">
        <f>C3+2</f>
        <v>44517</v>
      </c>
      <c r="H3" s="92">
        <f>G3</f>
        <v>44517</v>
      </c>
      <c r="I3" s="91">
        <f>C3+3</f>
        <v>44518</v>
      </c>
      <c r="J3" s="92">
        <f>I3</f>
        <v>44518</v>
      </c>
      <c r="K3" s="91">
        <f>C3+4</f>
        <v>44519</v>
      </c>
      <c r="L3" s="92">
        <f>K3</f>
        <v>44519</v>
      </c>
      <c r="M3" s="91">
        <f>C3+5</f>
        <v>44520</v>
      </c>
      <c r="N3" s="92">
        <f>M3</f>
        <v>44520</v>
      </c>
      <c r="O3" s="91">
        <f>C3+6</f>
        <v>44521</v>
      </c>
      <c r="P3" s="92">
        <f>O3</f>
        <v>44521</v>
      </c>
      <c r="Q3" s="14" t="s">
        <v>0</v>
      </c>
      <c r="R3" s="15" t="s">
        <v>0</v>
      </c>
      <c r="S3" s="178" t="s">
        <v>1</v>
      </c>
      <c r="T3" s="178" t="s">
        <v>2</v>
      </c>
      <c r="U3" s="180" t="s">
        <v>3</v>
      </c>
      <c r="V3" s="176"/>
      <c r="W3" s="176" t="s">
        <v>4</v>
      </c>
    </row>
    <row r="4" spans="1:23" ht="15.75" thickBot="1" x14ac:dyDescent="0.3">
      <c r="A4" s="179"/>
      <c r="B4" s="183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81"/>
      <c r="V4" s="177"/>
      <c r="W4" s="177"/>
    </row>
    <row r="5" spans="1:23" x14ac:dyDescent="0.25">
      <c r="A5" s="19" t="str">
        <f>Start!A5</f>
        <v>Postbearbeitung Bestand</v>
      </c>
      <c r="B5" s="134">
        <f>'KW 45'!S5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5">
        <f>'KW 45'!S6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6">
        <f>'KW 45'!S7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4">
        <f>'KW 45'!S9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5">
        <f>'KW 45'!S10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5">
        <f>'KW 45'!S11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6">
        <f>'KW 45'!S12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4">
        <f>'KW 45'!S14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4.1" customHeight="1" thickBot="1" x14ac:dyDescent="0.3">
      <c r="A15" s="29" t="str">
        <f>Start!A15</f>
        <v>Einfachaufträge</v>
      </c>
      <c r="B15" s="136">
        <f>'KW 45'!S15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6">
        <f>'KW 45'!S17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39">
        <f>'KW 45'!S20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4">
        <f>'KW 45'!S22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5">
        <f>'KW 45'!S23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6">
        <f>'KW 45'!S24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4">
        <f>'KW 45'!S26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5">
        <f>'KW 45'!S27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6">
        <f>'KW 45'!S28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39">
        <f>'KW 45'!S30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4">
        <f>'KW 45'!S35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D30">
    <cfRule type="expression" dxfId="188" priority="19" stopIfTrue="1">
      <formula>AND(NOT(OR(ISBLANK($A5),$A5="Summe ")),$C$1="altes Jahr")</formula>
    </cfRule>
    <cfRule type="expression" dxfId="187" priority="21" stopIfTrue="1">
      <formula>AND(NOT(OR(ISBLANK($A5),$A5="Summe ")),WEEKDAY($C$3,2)&gt;5)</formula>
    </cfRule>
  </conditionalFormatting>
  <conditionalFormatting sqref="E5:F30">
    <cfRule type="expression" dxfId="186" priority="16" stopIfTrue="1">
      <formula>AND(NOT(OR(ISBLANK($A5),$A5="Summe ")),$E$1="altes Jahr")</formula>
    </cfRule>
    <cfRule type="expression" dxfId="185" priority="18" stopIfTrue="1">
      <formula>AND(NOT(OR(ISBLANK($A5),$A5="Summe ")),WEEKDAY($E$3,2)&gt;5)</formula>
    </cfRule>
  </conditionalFormatting>
  <conditionalFormatting sqref="G5:H30">
    <cfRule type="expression" dxfId="184" priority="13" stopIfTrue="1">
      <formula>AND(NOT(OR(ISBLANK($A5),$A5="Summe ")),$G$1="altes Jahr")</formula>
    </cfRule>
    <cfRule type="expression" dxfId="183" priority="15" stopIfTrue="1">
      <formula>AND(NOT(OR(ISBLANK($A5),$A5="Summe ")),WEEKDAY($G$3,2)&gt;5)</formula>
    </cfRule>
  </conditionalFormatting>
  <conditionalFormatting sqref="I5:J30">
    <cfRule type="expression" dxfId="182" priority="10" stopIfTrue="1">
      <formula>AND(NOT(OR(ISBLANK($A5),$A5="Summe ")),$I$1="altes Jahr")</formula>
    </cfRule>
    <cfRule type="expression" dxfId="181" priority="12" stopIfTrue="1">
      <formula>AND(NOT(OR(ISBLANK($A5),$A5="Summe ")),WEEKDAY($I$3,2)&gt;5)</formula>
    </cfRule>
  </conditionalFormatting>
  <conditionalFormatting sqref="K5:L30">
    <cfRule type="expression" dxfId="180" priority="7" stopIfTrue="1">
      <formula>AND(NOT(OR(ISBLANK($A5),$A5="Summe ")),$K$1="altes Jahr")</formula>
    </cfRule>
    <cfRule type="expression" dxfId="179" priority="9" stopIfTrue="1">
      <formula>AND(NOT(OR(ISBLANK($A5),$A5="Summe ")),WEEKDAY($K$3,2)&gt;5)</formula>
    </cfRule>
  </conditionalFormatting>
  <conditionalFormatting sqref="M5:N30">
    <cfRule type="expression" dxfId="178" priority="4" stopIfTrue="1">
      <formula>AND(NOT(OR(ISBLANK($A5),$A5="Summe ")),$M$1="altes Jahr")</formula>
    </cfRule>
    <cfRule type="expression" dxfId="177" priority="6" stopIfTrue="1">
      <formula>AND(NOT(OR(ISBLANK($A5),$A5="Summe ")),WEEKDAY($M$3,2)&gt;5)</formula>
    </cfRule>
  </conditionalFormatting>
  <conditionalFormatting sqref="O5:P30">
    <cfRule type="expression" dxfId="176" priority="1" stopIfTrue="1">
      <formula>AND(NOT(OR(ISBLANK($A5),$A5="Summe ")),$O$1="altes Jahr")</formula>
    </cfRule>
    <cfRule type="expression" dxfId="175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08F87B5A-97AD-48DB-B3F6-078CA1FB9C8B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F0C6F55D-ED1B-4708-9133-5F1B1251237C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4FA8C83D-BA7A-4A48-9E87-50AFF7DBFA87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D6C1B472-E692-442F-8819-65797FCF3209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6EC38720-E803-4A66-9227-C18E052DF190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8AF879D0-4611-4F03-98C9-62E26E6EF760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AE8F5233-CC0A-4657-9E68-BF0C63233BCD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U37"/>
  <sheetViews>
    <sheetView zoomScaleNormal="100"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2" customWidth="1"/>
    <col min="3" max="16" width="10.7109375" style="2" customWidth="1"/>
    <col min="17" max="18" width="9.85546875" style="2" customWidth="1"/>
    <col min="19" max="16384" width="10.5703125" style="2"/>
  </cols>
  <sheetData>
    <row r="1" spans="1:21" x14ac:dyDescent="0.25">
      <c r="A1" s="6">
        <v>4711</v>
      </c>
      <c r="B1" s="12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B2" s="13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78" t="s">
        <v>20</v>
      </c>
      <c r="B3" s="178" t="s">
        <v>21</v>
      </c>
      <c r="C3" s="91">
        <f>'KW 1'!$C$3+7</f>
        <v>44207</v>
      </c>
      <c r="D3" s="92">
        <f>C3</f>
        <v>44207</v>
      </c>
      <c r="E3" s="91">
        <f>C3+1</f>
        <v>44208</v>
      </c>
      <c r="F3" s="92">
        <f>E3</f>
        <v>44208</v>
      </c>
      <c r="G3" s="91">
        <f>C3+2</f>
        <v>44209</v>
      </c>
      <c r="H3" s="92">
        <f>G3</f>
        <v>44209</v>
      </c>
      <c r="I3" s="91">
        <f>C3+3</f>
        <v>44210</v>
      </c>
      <c r="J3" s="92">
        <f>I3</f>
        <v>44210</v>
      </c>
      <c r="K3" s="91">
        <f>C3+4</f>
        <v>44211</v>
      </c>
      <c r="L3" s="92">
        <f>K3</f>
        <v>44211</v>
      </c>
      <c r="M3" s="91">
        <f>C3+5</f>
        <v>44212</v>
      </c>
      <c r="N3" s="92">
        <f>M3</f>
        <v>44212</v>
      </c>
      <c r="O3" s="91">
        <f>C3+6</f>
        <v>44213</v>
      </c>
      <c r="P3" s="92">
        <f>O3</f>
        <v>44213</v>
      </c>
      <c r="Q3" s="14" t="s">
        <v>0</v>
      </c>
      <c r="R3" s="15" t="s">
        <v>0</v>
      </c>
      <c r="S3" s="178" t="s">
        <v>1</v>
      </c>
      <c r="T3" s="178" t="s">
        <v>2</v>
      </c>
      <c r="U3" s="176" t="s">
        <v>4</v>
      </c>
    </row>
    <row r="4" spans="1:21" ht="15.75" thickBot="1" x14ac:dyDescent="0.3">
      <c r="A4" s="179"/>
      <c r="B4" s="17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77"/>
    </row>
    <row r="5" spans="1:21" x14ac:dyDescent="0.25">
      <c r="A5" s="19" t="str">
        <f>Start!A5</f>
        <v>Postbearbeitung Bestand</v>
      </c>
      <c r="B5" s="134">
        <f>'KW 1'!S5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5">
        <f>'KW 1'!S6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6">
        <f>'KW 1'!S7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5">
        <f>'KW 1'!S9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5">
        <f>'KW 1'!S10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5">
        <f>'KW 1'!S11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5">
        <f>'KW 1'!S12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5">
        <f>'KW 1'!S14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5">
        <f>'KW 1'!S15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6.7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5">
        <f>'KW 1'!S17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39">
        <f>'KW 1'!S20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4">
        <f>'KW 1'!S22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5">
        <f>'KW 1'!S23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6">
        <f>'KW 1'!S24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4">
        <f>'KW 1'!S26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5">
        <f>'KW 1'!S27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6">
        <f>'KW 1'!S28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39">
        <f>'KW 1'!S30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B32" s="59"/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B34" s="59"/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4">
        <f>'KW 1'!S35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S3:S4"/>
    <mergeCell ref="T3:T4"/>
    <mergeCell ref="A3:A4"/>
    <mergeCell ref="B3:B4"/>
  </mergeCells>
  <conditionalFormatting sqref="C5:D30">
    <cfRule type="expression" dxfId="1112" priority="19" stopIfTrue="1">
      <formula>AND(NOT(OR(ISBLANK($A5),$A5="Summe ")),$C$1="altes Jahr")</formula>
    </cfRule>
    <cfRule type="expression" dxfId="1111" priority="21" stopIfTrue="1">
      <formula>AND(NOT(OR(ISBLANK($A5),$A5="Summe ")),WEEKDAY($C$3,2)&gt;5)</formula>
    </cfRule>
  </conditionalFormatting>
  <conditionalFormatting sqref="E5:F30">
    <cfRule type="expression" dxfId="1110" priority="16" stopIfTrue="1">
      <formula>AND(NOT(OR(ISBLANK($A5),$A5="Summe ")),$E$1="altes Jahr")</formula>
    </cfRule>
    <cfRule type="expression" dxfId="1109" priority="18" stopIfTrue="1">
      <formula>AND(NOT(OR(ISBLANK($A5),$A5="Summe ")),WEEKDAY($E$3,2)&gt;5)</formula>
    </cfRule>
  </conditionalFormatting>
  <conditionalFormatting sqref="G5:H30">
    <cfRule type="expression" dxfId="1108" priority="13" stopIfTrue="1">
      <formula>AND(NOT(OR(ISBLANK($A5),$A5="Summe ")),$G$1="altes Jahr")</formula>
    </cfRule>
    <cfRule type="expression" dxfId="1107" priority="15" stopIfTrue="1">
      <formula>AND(NOT(OR(ISBLANK($A5),$A5="Summe ")),WEEKDAY($G$3,2)&gt;5)</formula>
    </cfRule>
  </conditionalFormatting>
  <conditionalFormatting sqref="I5:J30">
    <cfRule type="expression" dxfId="1106" priority="10" stopIfTrue="1">
      <formula>AND(NOT(OR(ISBLANK($A5),$A5="Summe ")),$I$1="altes Jahr")</formula>
    </cfRule>
    <cfRule type="expression" dxfId="1105" priority="12" stopIfTrue="1">
      <formula>AND(NOT(OR(ISBLANK($A5),$A5="Summe ")),WEEKDAY($I$3,2)&gt;5)</formula>
    </cfRule>
  </conditionalFormatting>
  <conditionalFormatting sqref="K5:L30">
    <cfRule type="expression" dxfId="1104" priority="7" stopIfTrue="1">
      <formula>AND(NOT(OR(ISBLANK($A5),$A5="Summe ")),$K$1="altes Jahr")</formula>
    </cfRule>
    <cfRule type="expression" dxfId="1103" priority="9" stopIfTrue="1">
      <formula>AND(NOT(OR(ISBLANK($A5),$A5="Summe ")),WEEKDAY($K$3,2)&gt;5)</formula>
    </cfRule>
  </conditionalFormatting>
  <conditionalFormatting sqref="M5:N30">
    <cfRule type="expression" dxfId="1102" priority="4" stopIfTrue="1">
      <formula>AND(NOT(OR(ISBLANK($A5),$A5="Summe ")),$M$1="altes Jahr")</formula>
    </cfRule>
    <cfRule type="expression" dxfId="1101" priority="6" stopIfTrue="1">
      <formula>AND(NOT(OR(ISBLANK($A5),$A5="Summe ")),WEEKDAY($M$3,2)&gt;5)</formula>
    </cfRule>
  </conditionalFormatting>
  <conditionalFormatting sqref="O5:P30">
    <cfRule type="expression" dxfId="1100" priority="1" stopIfTrue="1">
      <formula>AND(NOT(OR(ISBLANK($A5),$A5="Summe ")),$O$1="altes Jahr")</formula>
    </cfRule>
    <cfRule type="expression" dxfId="1099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85C5FE60-BACE-49B8-8D91-52E1770139D1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3E0A4807-0599-4057-B323-E823E7EB574E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6BBEA7D3-DFFE-46B7-BB1C-32E67359A47B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289477B3-73DD-4A49-96E9-2E5560E22E4A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AEF50A8A-36E2-47AE-96A2-06B2B03AFD08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30B65B51-06F8-4478-8BC3-74029F1E0256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A8F4F256-9E0B-478F-B717-2184E172F33C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Tabelle50"/>
  <dimension ref="A1:W37"/>
  <sheetViews>
    <sheetView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.75" thickBot="1" x14ac:dyDescent="0.3">
      <c r="A3" s="178" t="s">
        <v>20</v>
      </c>
      <c r="B3" s="182" t="s">
        <v>21</v>
      </c>
      <c r="C3" s="91">
        <f>'KW 1'!$C$3+322</f>
        <v>44522</v>
      </c>
      <c r="D3" s="92">
        <f>C3</f>
        <v>44522</v>
      </c>
      <c r="E3" s="91">
        <f>C3+1</f>
        <v>44523</v>
      </c>
      <c r="F3" s="92">
        <f>E3</f>
        <v>44523</v>
      </c>
      <c r="G3" s="91">
        <f>C3+2</f>
        <v>44524</v>
      </c>
      <c r="H3" s="92">
        <f>G3</f>
        <v>44524</v>
      </c>
      <c r="I3" s="91">
        <f>C3+3</f>
        <v>44525</v>
      </c>
      <c r="J3" s="92">
        <f>I3</f>
        <v>44525</v>
      </c>
      <c r="K3" s="91">
        <f>C3+4</f>
        <v>44526</v>
      </c>
      <c r="L3" s="92">
        <f>K3</f>
        <v>44526</v>
      </c>
      <c r="M3" s="91">
        <f>C3+5</f>
        <v>44527</v>
      </c>
      <c r="N3" s="92">
        <f>M3</f>
        <v>44527</v>
      </c>
      <c r="O3" s="91">
        <f>C3+6</f>
        <v>44528</v>
      </c>
      <c r="P3" s="92">
        <f>O3</f>
        <v>44528</v>
      </c>
      <c r="Q3" s="14" t="s">
        <v>0</v>
      </c>
      <c r="R3" s="15" t="s">
        <v>0</v>
      </c>
      <c r="S3" s="178" t="s">
        <v>1</v>
      </c>
      <c r="T3" s="178" t="s">
        <v>2</v>
      </c>
      <c r="U3" s="180" t="s">
        <v>3</v>
      </c>
      <c r="V3" s="176"/>
      <c r="W3" s="176" t="s">
        <v>4</v>
      </c>
    </row>
    <row r="4" spans="1:23" ht="15.75" thickBot="1" x14ac:dyDescent="0.3">
      <c r="A4" s="179"/>
      <c r="B4" s="183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81"/>
      <c r="V4" s="177"/>
      <c r="W4" s="177"/>
    </row>
    <row r="5" spans="1:23" x14ac:dyDescent="0.25">
      <c r="A5" s="19" t="str">
        <f>Start!A5</f>
        <v>Postbearbeitung Bestand</v>
      </c>
      <c r="B5" s="134">
        <f>'KW 46'!S5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5">
        <f>'KW 46'!S6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6">
        <f>'KW 46'!S7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5">
        <f>'KW 46'!S9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5">
        <f>'KW 46'!S10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5">
        <f>'KW 46'!S11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5">
        <f>'KW 46'!S12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5">
        <f>'KW 46'!S14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4.1" customHeight="1" thickBot="1" x14ac:dyDescent="0.3">
      <c r="A15" s="29" t="str">
        <f>Start!A15</f>
        <v>Einfachaufträge</v>
      </c>
      <c r="B15" s="135">
        <f>'KW 46'!S15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5">
        <f>'KW 46'!S17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39">
        <f>'KW 46'!S20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4">
        <f>'KW 46'!S22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5">
        <f>'KW 46'!S23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6">
        <f>'KW 46'!S24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4">
        <f>'KW 46'!S26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5">
        <f>'KW 46'!S27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6">
        <f>'KW 46'!S28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39">
        <f>'KW 46'!S30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4">
        <f>'KW 46'!S35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D30">
    <cfRule type="expression" dxfId="167" priority="19" stopIfTrue="1">
      <formula>AND(NOT(OR(ISBLANK($A5),$A5="Summe ")),$C$1="altes Jahr")</formula>
    </cfRule>
    <cfRule type="expression" dxfId="166" priority="21" stopIfTrue="1">
      <formula>AND(NOT(OR(ISBLANK($A5),$A5="Summe ")),WEEKDAY($C$3,2)&gt;5)</formula>
    </cfRule>
  </conditionalFormatting>
  <conditionalFormatting sqref="E5:F30">
    <cfRule type="expression" dxfId="165" priority="16" stopIfTrue="1">
      <formula>AND(NOT(OR(ISBLANK($A5),$A5="Summe ")),$E$1="altes Jahr")</formula>
    </cfRule>
    <cfRule type="expression" dxfId="164" priority="18" stopIfTrue="1">
      <formula>AND(NOT(OR(ISBLANK($A5),$A5="Summe ")),WEEKDAY($E$3,2)&gt;5)</formula>
    </cfRule>
  </conditionalFormatting>
  <conditionalFormatting sqref="G5:H30">
    <cfRule type="expression" dxfId="163" priority="13" stopIfTrue="1">
      <formula>AND(NOT(OR(ISBLANK($A5),$A5="Summe ")),$G$1="altes Jahr")</formula>
    </cfRule>
    <cfRule type="expression" dxfId="162" priority="15" stopIfTrue="1">
      <formula>AND(NOT(OR(ISBLANK($A5),$A5="Summe ")),WEEKDAY($G$3,2)&gt;5)</formula>
    </cfRule>
  </conditionalFormatting>
  <conditionalFormatting sqref="I5:J30">
    <cfRule type="expression" dxfId="161" priority="10" stopIfTrue="1">
      <formula>AND(NOT(OR(ISBLANK($A5),$A5="Summe ")),$I$1="altes Jahr")</formula>
    </cfRule>
    <cfRule type="expression" dxfId="160" priority="12" stopIfTrue="1">
      <formula>AND(NOT(OR(ISBLANK($A5),$A5="Summe ")),WEEKDAY($I$3,2)&gt;5)</formula>
    </cfRule>
  </conditionalFormatting>
  <conditionalFormatting sqref="K5:L30">
    <cfRule type="expression" dxfId="159" priority="7" stopIfTrue="1">
      <formula>AND(NOT(OR(ISBLANK($A5),$A5="Summe ")),$K$1="altes Jahr")</formula>
    </cfRule>
    <cfRule type="expression" dxfId="158" priority="9" stopIfTrue="1">
      <formula>AND(NOT(OR(ISBLANK($A5),$A5="Summe ")),WEEKDAY($K$3,2)&gt;5)</formula>
    </cfRule>
  </conditionalFormatting>
  <conditionalFormatting sqref="M5:N30">
    <cfRule type="expression" dxfId="157" priority="4" stopIfTrue="1">
      <formula>AND(NOT(OR(ISBLANK($A5),$A5="Summe ")),$M$1="altes Jahr")</formula>
    </cfRule>
    <cfRule type="expression" dxfId="156" priority="6" stopIfTrue="1">
      <formula>AND(NOT(OR(ISBLANK($A5),$A5="Summe ")),WEEKDAY($M$3,2)&gt;5)</formula>
    </cfRule>
  </conditionalFormatting>
  <conditionalFormatting sqref="O5:P30">
    <cfRule type="expression" dxfId="155" priority="1" stopIfTrue="1">
      <formula>AND(NOT(OR(ISBLANK($A5),$A5="Summe ")),$O$1="altes Jahr")</formula>
    </cfRule>
    <cfRule type="expression" dxfId="154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307E8EAE-1ADC-4CEE-BFD8-2D6EEEAA073A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E1F1202D-08C5-4DE1-B2ED-3FB9B5799432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5A5437BB-EA24-4AD5-BFE5-00CAEAB4E53C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01BE0EBC-BF71-4CB6-8387-CBA0D1D0F5C8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10B9FAE6-A8F4-4F9A-B8CE-29E0396BCBB7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87F8311F-A5B4-4F18-A649-5751CBD67192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397F0FD7-29E2-48F3-AAF0-F54C4B0A2768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Tabelle51"/>
  <dimension ref="A1:W37"/>
  <sheetViews>
    <sheetView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.75" thickBot="1" x14ac:dyDescent="0.3">
      <c r="A3" s="178" t="s">
        <v>20</v>
      </c>
      <c r="B3" s="182" t="s">
        <v>21</v>
      </c>
      <c r="C3" s="91">
        <f>'KW 1'!$C$3+329</f>
        <v>44529</v>
      </c>
      <c r="D3" s="92">
        <f>C3</f>
        <v>44529</v>
      </c>
      <c r="E3" s="91">
        <f>C3+1</f>
        <v>44530</v>
      </c>
      <c r="F3" s="92">
        <f>E3</f>
        <v>44530</v>
      </c>
      <c r="G3" s="91">
        <f>C3+2</f>
        <v>44531</v>
      </c>
      <c r="H3" s="92">
        <f>G3</f>
        <v>44531</v>
      </c>
      <c r="I3" s="91">
        <f>C3+3</f>
        <v>44532</v>
      </c>
      <c r="J3" s="92">
        <f>I3</f>
        <v>44532</v>
      </c>
      <c r="K3" s="91">
        <f>C3+4</f>
        <v>44533</v>
      </c>
      <c r="L3" s="92">
        <f>K3</f>
        <v>44533</v>
      </c>
      <c r="M3" s="91">
        <f>C3+5</f>
        <v>44534</v>
      </c>
      <c r="N3" s="92">
        <f>M3</f>
        <v>44534</v>
      </c>
      <c r="O3" s="91">
        <f>C3+6</f>
        <v>44535</v>
      </c>
      <c r="P3" s="92">
        <f>O3</f>
        <v>44535</v>
      </c>
      <c r="Q3" s="14" t="s">
        <v>0</v>
      </c>
      <c r="R3" s="15" t="s">
        <v>0</v>
      </c>
      <c r="S3" s="178" t="s">
        <v>1</v>
      </c>
      <c r="T3" s="178" t="s">
        <v>2</v>
      </c>
      <c r="U3" s="180" t="s">
        <v>3</v>
      </c>
      <c r="V3" s="176"/>
      <c r="W3" s="176" t="s">
        <v>4</v>
      </c>
    </row>
    <row r="4" spans="1:23" ht="15.75" thickBot="1" x14ac:dyDescent="0.3">
      <c r="A4" s="179"/>
      <c r="B4" s="183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81"/>
      <c r="V4" s="177"/>
      <c r="W4" s="177"/>
    </row>
    <row r="5" spans="1:23" x14ac:dyDescent="0.25">
      <c r="A5" s="19" t="str">
        <f>Start!A5</f>
        <v>Postbearbeitung Bestand</v>
      </c>
      <c r="B5" s="134">
        <f>'KW 47'!S5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5">
        <f>'KW 47'!S6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6">
        <f>'KW 47'!S7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5">
        <f>'KW 47'!S9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5">
        <f>'KW 47'!S10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5">
        <f>'KW 47'!S11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5">
        <f>'KW 47'!S12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5">
        <f>'KW 47'!S14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4.1" customHeight="1" thickBot="1" x14ac:dyDescent="0.3">
      <c r="A15" s="29" t="str">
        <f>Start!A15</f>
        <v>Einfachaufträge</v>
      </c>
      <c r="B15" s="135">
        <f>'KW 47'!S15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5">
        <f>'KW 47'!S17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39">
        <f>'KW 47'!S20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4">
        <f>'KW 47'!S22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5">
        <f>'KW 47'!S23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6">
        <f>'KW 47'!S24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4">
        <f>'KW 47'!S26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5">
        <f>'KW 47'!S27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6">
        <f>'KW 47'!S28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39">
        <f>'KW 47'!S30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4">
        <f>'KW 47'!S35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D30">
    <cfRule type="expression" dxfId="146" priority="19" stopIfTrue="1">
      <formula>AND(NOT(OR(ISBLANK($A5),$A5="Summe ")),$C$1="altes Jahr")</formula>
    </cfRule>
    <cfRule type="expression" dxfId="145" priority="21" stopIfTrue="1">
      <formula>AND(NOT(OR(ISBLANK($A5),$A5="Summe ")),WEEKDAY($C$3,2)&gt;5)</formula>
    </cfRule>
  </conditionalFormatting>
  <conditionalFormatting sqref="E5:F30">
    <cfRule type="expression" dxfId="144" priority="16" stopIfTrue="1">
      <formula>AND(NOT(OR(ISBLANK($A5),$A5="Summe ")),$E$1="altes Jahr")</formula>
    </cfRule>
    <cfRule type="expression" dxfId="143" priority="18" stopIfTrue="1">
      <formula>AND(NOT(OR(ISBLANK($A5),$A5="Summe ")),WEEKDAY($E$3,2)&gt;5)</formula>
    </cfRule>
  </conditionalFormatting>
  <conditionalFormatting sqref="G5:H30">
    <cfRule type="expression" dxfId="142" priority="13" stopIfTrue="1">
      <formula>AND(NOT(OR(ISBLANK($A5),$A5="Summe ")),$G$1="altes Jahr")</formula>
    </cfRule>
    <cfRule type="expression" dxfId="141" priority="15" stopIfTrue="1">
      <formula>AND(NOT(OR(ISBLANK($A5),$A5="Summe ")),WEEKDAY($G$3,2)&gt;5)</formula>
    </cfRule>
  </conditionalFormatting>
  <conditionalFormatting sqref="I5:J30">
    <cfRule type="expression" dxfId="140" priority="10" stopIfTrue="1">
      <formula>AND(NOT(OR(ISBLANK($A5),$A5="Summe ")),$I$1="altes Jahr")</formula>
    </cfRule>
    <cfRule type="expression" dxfId="139" priority="12" stopIfTrue="1">
      <formula>AND(NOT(OR(ISBLANK($A5),$A5="Summe ")),WEEKDAY($I$3,2)&gt;5)</formula>
    </cfRule>
  </conditionalFormatting>
  <conditionalFormatting sqref="K5:L30">
    <cfRule type="expression" dxfId="138" priority="7" stopIfTrue="1">
      <formula>AND(NOT(OR(ISBLANK($A5),$A5="Summe ")),$K$1="altes Jahr")</formula>
    </cfRule>
    <cfRule type="expression" dxfId="137" priority="9" stopIfTrue="1">
      <formula>AND(NOT(OR(ISBLANK($A5),$A5="Summe ")),WEEKDAY($K$3,2)&gt;5)</formula>
    </cfRule>
  </conditionalFormatting>
  <conditionalFormatting sqref="M5:N30">
    <cfRule type="expression" dxfId="136" priority="4" stopIfTrue="1">
      <formula>AND(NOT(OR(ISBLANK($A5),$A5="Summe ")),$M$1="altes Jahr")</formula>
    </cfRule>
    <cfRule type="expression" dxfId="135" priority="6" stopIfTrue="1">
      <formula>AND(NOT(OR(ISBLANK($A5),$A5="Summe ")),WEEKDAY($M$3,2)&gt;5)</formula>
    </cfRule>
  </conditionalFormatting>
  <conditionalFormatting sqref="O5:P30">
    <cfRule type="expression" dxfId="134" priority="1" stopIfTrue="1">
      <formula>AND(NOT(OR(ISBLANK($A5),$A5="Summe ")),$O$1="altes Jahr")</formula>
    </cfRule>
    <cfRule type="expression" dxfId="133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BCC7E8C1-BAB9-4708-81BB-7DEBE80B0BE7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BC7872F1-1761-4DD1-8DA7-B35364596178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63C8C955-DD95-4709-A054-0D8F6B7BF4E2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54B356D6-C6E4-4370-9038-CBB6B5F12033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4DA6A612-F6E9-4368-96F7-C0D61606F833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EC23D06D-94E8-46D5-8F95-20DC3C84338F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3FB2CE62-6FD2-49C0-A27E-C32246F13FF4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Tabelle52"/>
  <dimension ref="A1:W37"/>
  <sheetViews>
    <sheetView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.75" thickBot="1" x14ac:dyDescent="0.3">
      <c r="A2" s="6"/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.75" thickBot="1" x14ac:dyDescent="0.3">
      <c r="A3" s="178" t="s">
        <v>20</v>
      </c>
      <c r="B3" s="182" t="s">
        <v>21</v>
      </c>
      <c r="E3" s="91">
        <f>'KW 50'!C3+1</f>
        <v>44544</v>
      </c>
      <c r="F3" s="92">
        <f>E3</f>
        <v>44544</v>
      </c>
      <c r="G3" s="91">
        <f>'KW 50'!C3+2</f>
        <v>44545</v>
      </c>
      <c r="H3" s="92">
        <f>G3</f>
        <v>44545</v>
      </c>
      <c r="I3" s="91">
        <f>'KW 50'!C3+3</f>
        <v>44546</v>
      </c>
      <c r="J3" s="92">
        <f>I3</f>
        <v>44546</v>
      </c>
      <c r="K3" s="91">
        <f>'KW 50'!C3+4</f>
        <v>44547</v>
      </c>
      <c r="L3" s="92">
        <f>K3</f>
        <v>44547</v>
      </c>
      <c r="M3" s="91">
        <f>'KW 50'!C3+5</f>
        <v>44548</v>
      </c>
      <c r="N3" s="92">
        <f>M3</f>
        <v>44548</v>
      </c>
      <c r="O3" s="91">
        <f>'KW 50'!C3+6</f>
        <v>44549</v>
      </c>
      <c r="P3" s="92">
        <f>O3</f>
        <v>44549</v>
      </c>
      <c r="Q3" s="14" t="s">
        <v>0</v>
      </c>
      <c r="R3" s="15" t="s">
        <v>0</v>
      </c>
      <c r="S3" s="178" t="s">
        <v>1</v>
      </c>
      <c r="T3" s="178" t="s">
        <v>2</v>
      </c>
      <c r="U3" s="180" t="s">
        <v>3</v>
      </c>
      <c r="V3" s="176"/>
      <c r="W3" s="176" t="s">
        <v>4</v>
      </c>
    </row>
    <row r="4" spans="1:23" ht="15.75" thickBot="1" x14ac:dyDescent="0.3">
      <c r="A4" s="179"/>
      <c r="B4" s="183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81"/>
      <c r="V4" s="177"/>
      <c r="W4" s="177"/>
    </row>
    <row r="5" spans="1:23" x14ac:dyDescent="0.25">
      <c r="A5" s="19" t="str">
        <f>Start!A5</f>
        <v>Postbearbeitung Bestand</v>
      </c>
      <c r="B5" s="134">
        <f>'KW 48'!S5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5">
        <f>'KW 48'!S6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6">
        <f>'KW 48'!S7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5">
        <f>'KW 48'!S9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5">
        <f>'KW 48'!S10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5">
        <f>'KW 48'!S11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5">
        <f>'KW 48'!S12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5">
        <f>'KW 48'!S14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3.35" customHeight="1" thickBot="1" x14ac:dyDescent="0.3">
      <c r="A15" s="29" t="str">
        <f>Start!A15</f>
        <v>Einfachaufträge</v>
      </c>
      <c r="B15" s="135">
        <f>'KW 48'!S15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5">
        <f>'KW 48'!S17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39">
        <f>'KW 48'!S20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4">
        <f>'KW 48'!S22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5">
        <f>'KW 48'!S23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6">
        <f>'KW 48'!S24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4">
        <f>'KW 48'!S26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5">
        <f>'KW 48'!S27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6">
        <f>'KW 48'!S28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39">
        <f>'KW 48'!S30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4">
        <f>'KW 48'!S35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D30">
    <cfRule type="expression" dxfId="125" priority="19" stopIfTrue="1">
      <formula>AND(NOT(OR(ISBLANK($A5),$A5="Summe ")),$C$1="altes Jahr")</formula>
    </cfRule>
    <cfRule type="expression" dxfId="124" priority="21" stopIfTrue="1">
      <formula>AND(NOT(OR(ISBLANK($A5),$A5="Summe ")),WEEKDAY($C$3,2)&gt;5)</formula>
    </cfRule>
  </conditionalFormatting>
  <conditionalFormatting sqref="E5:F30">
    <cfRule type="expression" dxfId="123" priority="16" stopIfTrue="1">
      <formula>AND(NOT(OR(ISBLANK($A5),$A5="Summe ")),$E$1="altes Jahr")</formula>
    </cfRule>
    <cfRule type="expression" dxfId="122" priority="18" stopIfTrue="1">
      <formula>AND(NOT(OR(ISBLANK($A5),$A5="Summe ")),WEEKDAY($E$3,2)&gt;5)</formula>
    </cfRule>
  </conditionalFormatting>
  <conditionalFormatting sqref="G5:H30">
    <cfRule type="expression" dxfId="121" priority="13" stopIfTrue="1">
      <formula>AND(NOT(OR(ISBLANK($A5),$A5="Summe ")),$G$1="altes Jahr")</formula>
    </cfRule>
    <cfRule type="expression" dxfId="120" priority="15" stopIfTrue="1">
      <formula>AND(NOT(OR(ISBLANK($A5),$A5="Summe ")),WEEKDAY($G$3,2)&gt;5)</formula>
    </cfRule>
  </conditionalFormatting>
  <conditionalFormatting sqref="I5:J30">
    <cfRule type="expression" dxfId="119" priority="10" stopIfTrue="1">
      <formula>AND(NOT(OR(ISBLANK($A5),$A5="Summe ")),$I$1="altes Jahr")</formula>
    </cfRule>
    <cfRule type="expression" dxfId="118" priority="12" stopIfTrue="1">
      <formula>AND(NOT(OR(ISBLANK($A5),$A5="Summe ")),WEEKDAY($I$3,2)&gt;5)</formula>
    </cfRule>
  </conditionalFormatting>
  <conditionalFormatting sqref="K5:L30">
    <cfRule type="expression" dxfId="117" priority="7" stopIfTrue="1">
      <formula>AND(NOT(OR(ISBLANK($A5),$A5="Summe ")),$K$1="altes Jahr")</formula>
    </cfRule>
    <cfRule type="expression" dxfId="116" priority="9" stopIfTrue="1">
      <formula>AND(NOT(OR(ISBLANK($A5),$A5="Summe ")),WEEKDAY($K$3,2)&gt;5)</formula>
    </cfRule>
  </conditionalFormatting>
  <conditionalFormatting sqref="M5:N30">
    <cfRule type="expression" dxfId="115" priority="4" stopIfTrue="1">
      <formula>AND(NOT(OR(ISBLANK($A5),$A5="Summe ")),$M$1="altes Jahr")</formula>
    </cfRule>
    <cfRule type="expression" dxfId="114" priority="6" stopIfTrue="1">
      <formula>AND(NOT(OR(ISBLANK($A5),$A5="Summe ")),WEEKDAY($M$3,2)&gt;5)</formula>
    </cfRule>
  </conditionalFormatting>
  <conditionalFormatting sqref="O5:P30">
    <cfRule type="expression" dxfId="113" priority="1" stopIfTrue="1">
      <formula>AND(NOT(OR(ISBLANK($A5),$A5="Summe ")),$O$1="altes Jahr")</formula>
    </cfRule>
    <cfRule type="expression" dxfId="112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66DA567F-4E7B-4BFE-B344-97BECC39F15A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C77BBC32-B3DD-4D28-B357-8019D0100C56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0384622C-60CB-479D-9E03-27936812F6BA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2224363C-CBA0-4DD3-A3DD-4B7C9CB5E530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27538651-BB71-4D48-AA64-857F2ADAF42E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EEF68B95-C669-4303-A644-C492C467FEA9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9F8EA9FD-243A-4892-873C-BA6FB3E54703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Tabelle53"/>
  <dimension ref="A1:W37"/>
  <sheetViews>
    <sheetView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.75" thickBot="1" x14ac:dyDescent="0.3">
      <c r="A3" s="178" t="s">
        <v>20</v>
      </c>
      <c r="B3" s="182" t="s">
        <v>21</v>
      </c>
      <c r="C3" s="91">
        <f>'KW 1'!$C$3+343</f>
        <v>44543</v>
      </c>
      <c r="D3" s="92">
        <f>C3</f>
        <v>44543</v>
      </c>
      <c r="E3" s="91">
        <f>C3+1</f>
        <v>44544</v>
      </c>
      <c r="F3" s="92">
        <f>E3</f>
        <v>44544</v>
      </c>
      <c r="G3" s="91">
        <f>E3+1</f>
        <v>44545</v>
      </c>
      <c r="H3" s="92">
        <f>G3</f>
        <v>44545</v>
      </c>
      <c r="I3" s="91">
        <f>G3+1</f>
        <v>44546</v>
      </c>
      <c r="J3" s="92">
        <f>I3</f>
        <v>44546</v>
      </c>
      <c r="K3" s="91">
        <f>I3+1</f>
        <v>44547</v>
      </c>
      <c r="L3" s="92">
        <f>K3</f>
        <v>44547</v>
      </c>
      <c r="M3" s="91">
        <f>K3+1</f>
        <v>44548</v>
      </c>
      <c r="N3" s="92">
        <f>M3</f>
        <v>44548</v>
      </c>
      <c r="O3" s="91">
        <f>M3+1</f>
        <v>44549</v>
      </c>
      <c r="P3" s="92">
        <f>O3</f>
        <v>44549</v>
      </c>
      <c r="Q3" s="14" t="s">
        <v>0</v>
      </c>
      <c r="R3" s="15" t="s">
        <v>0</v>
      </c>
      <c r="S3" s="178" t="s">
        <v>1</v>
      </c>
      <c r="T3" s="178" t="s">
        <v>2</v>
      </c>
      <c r="U3" s="180" t="s">
        <v>3</v>
      </c>
      <c r="V3" s="176"/>
      <c r="W3" s="176" t="s">
        <v>4</v>
      </c>
    </row>
    <row r="4" spans="1:23" ht="15.75" thickBot="1" x14ac:dyDescent="0.3">
      <c r="A4" s="179"/>
      <c r="B4" s="183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81"/>
      <c r="V4" s="177"/>
      <c r="W4" s="177"/>
    </row>
    <row r="5" spans="1:23" x14ac:dyDescent="0.25">
      <c r="A5" s="19" t="str">
        <f>Start!A5</f>
        <v>Postbearbeitung Bestand</v>
      </c>
      <c r="B5" s="134">
        <f>'KW 49'!S5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5">
        <f>'KW 49'!S6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7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6">
        <f>'KW 49'!S7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5">
        <f>'KW 49'!S9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7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5">
        <f>'KW 49'!S10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5">
        <f>'KW 49'!S11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5">
        <f>'KW 49'!S12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27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5">
        <f>'KW 49'!S14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7">
        <f t="shared" si="2"/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.75" thickBot="1" x14ac:dyDescent="0.3">
      <c r="A15" s="29" t="str">
        <f>Start!A15</f>
        <v>Einfachaufträge</v>
      </c>
      <c r="B15" s="135">
        <f>'KW 49'!S15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27">
        <f t="shared" si="2"/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5">
        <f>'KW 49'!S17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27">
        <f t="shared" si="2"/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39">
        <f>'KW 49'!S20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 t="shared" ref="S20:S30" si="11">B20+Q20-R20</f>
        <v>0</v>
      </c>
      <c r="T20" s="44">
        <f t="shared" ref="T20:T30" si="12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4">
        <f>'KW 49'!S22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3">C22+E22+G22+I22+K22+M22+O22</f>
        <v>0</v>
      </c>
      <c r="R22" s="21">
        <f t="shared" si="13"/>
        <v>0</v>
      </c>
      <c r="S22" s="22">
        <f t="shared" si="11"/>
        <v>0</v>
      </c>
      <c r="T22" s="22">
        <f t="shared" si="12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5">
        <f>'KW 49'!S23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3"/>
        <v>0</v>
      </c>
      <c r="R23" s="26">
        <f t="shared" si="13"/>
        <v>0</v>
      </c>
      <c r="S23" s="27">
        <f t="shared" si="11"/>
        <v>0</v>
      </c>
      <c r="T23" s="27">
        <f t="shared" si="12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6">
        <f>'KW 49'!S24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3"/>
        <v>0</v>
      </c>
      <c r="R24" s="31">
        <f t="shared" si="13"/>
        <v>0</v>
      </c>
      <c r="S24" s="32">
        <f t="shared" si="11"/>
        <v>0</v>
      </c>
      <c r="T24" s="32">
        <f t="shared" si="12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4">
        <f>'KW 49'!S26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1"/>
        <v>1</v>
      </c>
      <c r="T26" s="22">
        <f t="shared" si="12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5">
        <f>'KW 49'!S27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1"/>
        <v>48</v>
      </c>
      <c r="T27" s="27">
        <f t="shared" si="12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6">
        <f>'KW 49'!S28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1"/>
        <v>7</v>
      </c>
      <c r="T28" s="32">
        <f t="shared" si="12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39">
        <f>'KW 49'!S30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1"/>
        <v>0</v>
      </c>
      <c r="T30" s="44">
        <f t="shared" si="12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4">
        <f>'KW 49'!S35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D30">
    <cfRule type="expression" dxfId="104" priority="19" stopIfTrue="1">
      <formula>AND(NOT(OR(ISBLANK($A5),$A5="Summe ")),$C$1="altes Jahr")</formula>
    </cfRule>
    <cfRule type="expression" dxfId="103" priority="21" stopIfTrue="1">
      <formula>AND(NOT(OR(ISBLANK($A5),$A5="Summe ")),WEEKDAY($C$3,2)&gt;5)</formula>
    </cfRule>
  </conditionalFormatting>
  <conditionalFormatting sqref="E5:F30">
    <cfRule type="expression" dxfId="102" priority="16" stopIfTrue="1">
      <formula>AND(NOT(OR(ISBLANK($A5),$A5="Summe ")),$E$1="altes Jahr")</formula>
    </cfRule>
    <cfRule type="expression" dxfId="101" priority="18" stopIfTrue="1">
      <formula>AND(NOT(OR(ISBLANK($A5),$A5="Summe ")),WEEKDAY($E$3,2)&gt;5)</formula>
    </cfRule>
  </conditionalFormatting>
  <conditionalFormatting sqref="G5:H30">
    <cfRule type="expression" dxfId="100" priority="13" stopIfTrue="1">
      <formula>AND(NOT(OR(ISBLANK($A5),$A5="Summe ")),$G$1="altes Jahr")</formula>
    </cfRule>
    <cfRule type="expression" dxfId="99" priority="15" stopIfTrue="1">
      <formula>AND(NOT(OR(ISBLANK($A5),$A5="Summe ")),WEEKDAY($G$3,2)&gt;5)</formula>
    </cfRule>
  </conditionalFormatting>
  <conditionalFormatting sqref="I5:J30">
    <cfRule type="expression" dxfId="98" priority="10" stopIfTrue="1">
      <formula>AND(NOT(OR(ISBLANK($A5),$A5="Summe ")),$I$1="altes Jahr")</formula>
    </cfRule>
    <cfRule type="expression" dxfId="97" priority="12" stopIfTrue="1">
      <formula>AND(NOT(OR(ISBLANK($A5),$A5="Summe ")),WEEKDAY($I$3,2)&gt;5)</formula>
    </cfRule>
  </conditionalFormatting>
  <conditionalFormatting sqref="K5:L30">
    <cfRule type="expression" dxfId="96" priority="7" stopIfTrue="1">
      <formula>AND(NOT(OR(ISBLANK($A5),$A5="Summe ")),$K$1="altes Jahr")</formula>
    </cfRule>
    <cfRule type="expression" dxfId="95" priority="9" stopIfTrue="1">
      <formula>AND(NOT(OR(ISBLANK($A5),$A5="Summe ")),WEEKDAY($K$3,2)&gt;5)</formula>
    </cfRule>
  </conditionalFormatting>
  <conditionalFormatting sqref="M5:N30">
    <cfRule type="expression" dxfId="94" priority="4" stopIfTrue="1">
      <formula>AND(NOT(OR(ISBLANK($A5),$A5="Summe ")),$M$1="altes Jahr")</formula>
    </cfRule>
    <cfRule type="expression" dxfId="93" priority="6" stopIfTrue="1">
      <formula>AND(NOT(OR(ISBLANK($A5),$A5="Summe ")),WEEKDAY($M$3,2)&gt;5)</formula>
    </cfRule>
  </conditionalFormatting>
  <conditionalFormatting sqref="O5:P30">
    <cfRule type="expression" dxfId="92" priority="1" stopIfTrue="1">
      <formula>AND(NOT(OR(ISBLANK($A5),$A5="Summe ")),$O$1="altes Jahr")</formula>
    </cfRule>
    <cfRule type="expression" dxfId="91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7E3B78AD-77B5-469E-B6DD-E01F9ED792DC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C8F6A28E-B10B-49F2-9424-6D7F16E4C813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807DDED3-5671-4262-9660-053B04643209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F3CE4410-1652-40AE-B1CD-4E7D7E9F7385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130E02F9-C700-41B1-8C8D-114A97DE932A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863274B2-57C6-48E9-A400-2E1BBB9C8772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4EC8F79E-8789-4712-8F55-748FB9DC4093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Tabelle54"/>
  <dimension ref="A1:W37"/>
  <sheetViews>
    <sheetView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>Heiligabend</v>
      </c>
      <c r="M2" s="122">
        <f>YEAR(M3)</f>
        <v>2021</v>
      </c>
      <c r="N2" s="119" t="str">
        <f>IFERROR(VLOOKUP(M3,Start!$F$2:$G$22,2,0),"")</f>
        <v>1. Weihnachtstag</v>
      </c>
      <c r="O2" s="122">
        <f>YEAR(O3)</f>
        <v>2021</v>
      </c>
      <c r="P2" s="119" t="str">
        <f>IFERROR(VLOOKUP(O3,Start!$F$2:$G$22,2,0),"")</f>
        <v>2. Weihnachtstag</v>
      </c>
    </row>
    <row r="3" spans="1:23" ht="15.75" thickBot="1" x14ac:dyDescent="0.3">
      <c r="A3" s="178" t="s">
        <v>20</v>
      </c>
      <c r="B3" s="182" t="s">
        <v>21</v>
      </c>
      <c r="C3" s="91">
        <f>'KW 1'!$C$3+350</f>
        <v>44550</v>
      </c>
      <c r="D3" s="92">
        <f>C3</f>
        <v>44550</v>
      </c>
      <c r="E3" s="91">
        <f>C3+1</f>
        <v>44551</v>
      </c>
      <c r="F3" s="92">
        <f>E3</f>
        <v>44551</v>
      </c>
      <c r="G3" s="91">
        <f>C3+2</f>
        <v>44552</v>
      </c>
      <c r="H3" s="92">
        <f>G3</f>
        <v>44552</v>
      </c>
      <c r="I3" s="91">
        <f>C3+3</f>
        <v>44553</v>
      </c>
      <c r="J3" s="92">
        <f>I3</f>
        <v>44553</v>
      </c>
      <c r="K3" s="91">
        <f>C3+4</f>
        <v>44554</v>
      </c>
      <c r="L3" s="92">
        <f>K3</f>
        <v>44554</v>
      </c>
      <c r="M3" s="91">
        <f>C3+5</f>
        <v>44555</v>
      </c>
      <c r="N3" s="92">
        <f>M3</f>
        <v>44555</v>
      </c>
      <c r="O3" s="91">
        <f>C3+6</f>
        <v>44556</v>
      </c>
      <c r="P3" s="92">
        <f>O3</f>
        <v>44556</v>
      </c>
      <c r="Q3" s="14" t="s">
        <v>0</v>
      </c>
      <c r="R3" s="15" t="s">
        <v>0</v>
      </c>
      <c r="S3" s="178" t="s">
        <v>1</v>
      </c>
      <c r="T3" s="178" t="s">
        <v>2</v>
      </c>
      <c r="U3" s="180" t="s">
        <v>3</v>
      </c>
      <c r="V3" s="176"/>
      <c r="W3" s="176" t="s">
        <v>4</v>
      </c>
    </row>
    <row r="4" spans="1:23" ht="15.75" thickBot="1" x14ac:dyDescent="0.3">
      <c r="A4" s="179"/>
      <c r="B4" s="183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81"/>
      <c r="V4" s="177"/>
      <c r="W4" s="177"/>
    </row>
    <row r="5" spans="1:23" x14ac:dyDescent="0.25">
      <c r="A5" s="19" t="str">
        <f>Start!A5</f>
        <v>Postbearbeitung Bestand</v>
      </c>
      <c r="B5" s="134">
        <f>'KW 50'!S5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5">
        <f>'KW 50'!S6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6">
        <f>'KW 50'!S7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5">
        <f>'KW 50'!S9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5">
        <f>'KW 50'!S10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5">
        <f>'KW 50'!S11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5">
        <f>'KW 50'!S12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5">
        <f>'KW 50'!S14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4.1" customHeight="1" thickBot="1" x14ac:dyDescent="0.3">
      <c r="A15" s="29" t="str">
        <f>Start!A15</f>
        <v>Einfachaufträge</v>
      </c>
      <c r="B15" s="135">
        <f>'KW 50'!S15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127"/>
      <c r="L16" s="127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5">
        <f>'KW 50'!S17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128"/>
      <c r="L19" s="128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39">
        <f>'KW 50'!S20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4">
        <f>'KW 50'!S22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5">
        <f>'KW 50'!S23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6">
        <f>'KW 50'!S24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4">
        <f>'KW 50'!S26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5">
        <f>'KW 50'!S27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6">
        <f>'KW 50'!S28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39">
        <f>'KW 50'!S30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K32" s="129"/>
      <c r="L32" s="129"/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4">
        <f>'KW 50'!S35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D30">
    <cfRule type="expression" dxfId="83" priority="19" stopIfTrue="1">
      <formula>AND(NOT(OR(ISBLANK($A5),$A5="Summe ")),$C$1="altes Jahr")</formula>
    </cfRule>
    <cfRule type="expression" dxfId="82" priority="21" stopIfTrue="1">
      <formula>AND(NOT(OR(ISBLANK($A5),$A5="Summe ")),WEEKDAY($C$3,2)&gt;5)</formula>
    </cfRule>
  </conditionalFormatting>
  <conditionalFormatting sqref="E5:F30">
    <cfRule type="expression" dxfId="81" priority="16" stopIfTrue="1">
      <formula>AND(NOT(OR(ISBLANK($A5),$A5="Summe ")),$E$1="altes Jahr")</formula>
    </cfRule>
    <cfRule type="expression" dxfId="80" priority="18" stopIfTrue="1">
      <formula>AND(NOT(OR(ISBLANK($A5),$A5="Summe ")),WEEKDAY($E$3,2)&gt;5)</formula>
    </cfRule>
  </conditionalFormatting>
  <conditionalFormatting sqref="G5:H30">
    <cfRule type="expression" dxfId="79" priority="13" stopIfTrue="1">
      <formula>AND(NOT(OR(ISBLANK($A5),$A5="Summe ")),$G$1="altes Jahr")</formula>
    </cfRule>
    <cfRule type="expression" dxfId="78" priority="15" stopIfTrue="1">
      <formula>AND(NOT(OR(ISBLANK($A5),$A5="Summe ")),WEEKDAY($G$3,2)&gt;5)</formula>
    </cfRule>
  </conditionalFormatting>
  <conditionalFormatting sqref="I5:J30">
    <cfRule type="expression" dxfId="77" priority="10" stopIfTrue="1">
      <formula>AND(NOT(OR(ISBLANK($A5),$A5="Summe ")),$I$1="altes Jahr")</formula>
    </cfRule>
    <cfRule type="expression" dxfId="76" priority="12" stopIfTrue="1">
      <formula>AND(NOT(OR(ISBLANK($A5),$A5="Summe ")),WEEKDAY($I$3,2)&gt;5)</formula>
    </cfRule>
  </conditionalFormatting>
  <conditionalFormatting sqref="K5:L30">
    <cfRule type="expression" dxfId="75" priority="7" stopIfTrue="1">
      <formula>AND(NOT(OR(ISBLANK($A5),$A5="Summe ")),$K$1="altes Jahr")</formula>
    </cfRule>
    <cfRule type="expression" dxfId="74" priority="9" stopIfTrue="1">
      <formula>AND(NOT(OR(ISBLANK($A5),$A5="Summe ")),WEEKDAY($K$3,2)&gt;5)</formula>
    </cfRule>
  </conditionalFormatting>
  <conditionalFormatting sqref="M5:N30">
    <cfRule type="expression" dxfId="73" priority="4" stopIfTrue="1">
      <formula>AND(NOT(OR(ISBLANK($A5),$A5="Summe ")),$M$1="altes Jahr")</formula>
    </cfRule>
    <cfRule type="expression" dxfId="72" priority="6" stopIfTrue="1">
      <formula>AND(NOT(OR(ISBLANK($A5),$A5="Summe ")),WEEKDAY($M$3,2)&gt;5)</formula>
    </cfRule>
  </conditionalFormatting>
  <conditionalFormatting sqref="O5:P30">
    <cfRule type="expression" dxfId="71" priority="1" stopIfTrue="1">
      <formula>AND(NOT(OR(ISBLANK($A5),$A5="Summe ")),$O$1="altes Jahr")</formula>
    </cfRule>
    <cfRule type="expression" dxfId="70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FA2CCF88-4E08-4004-B10F-8CD4A44080DA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5089E00F-2EAE-48E7-93B0-A8D84EAEAA26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C48A638F-220A-4397-A7FF-AD20FAA0EBB7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C7E6735F-0352-4C11-9CC4-1EDAF0B54F6A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9E657738-8E7B-46B4-8EBB-5B17CFC8EB94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44911B21-3386-46FB-BCFD-ECFE52B9D12D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7D727EE2-43DE-4B1E-B1F7-8CB0BFA1F289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Tabelle55"/>
  <dimension ref="A1:W37"/>
  <sheetViews>
    <sheetView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>neues Jahr</v>
      </c>
      <c r="O1" s="2" t="str">
        <f>IF(O2=Start!$B$1,"",IF(O2&lt;Start!$B$1,"altes Jahr",IF(O2&gt;Start!$B$1,"neues Jahr")))</f>
        <v>neues Jahr</v>
      </c>
    </row>
    <row r="2" spans="1:23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>Sylvester</v>
      </c>
      <c r="M2" s="122">
        <f>YEAR(M3)</f>
        <v>2022</v>
      </c>
      <c r="N2" s="119" t="str">
        <f>IFERROR(VLOOKUP(M3,Start!$F$2:$G$22,2,0),"")</f>
        <v/>
      </c>
      <c r="O2" s="122">
        <f>YEAR(O3)</f>
        <v>2022</v>
      </c>
      <c r="P2" s="119" t="str">
        <f>IFERROR(VLOOKUP(O3,Start!$F$2:$G$22,2,0),"")</f>
        <v/>
      </c>
    </row>
    <row r="3" spans="1:23" ht="15.75" thickBot="1" x14ac:dyDescent="0.3">
      <c r="A3" s="178" t="s">
        <v>20</v>
      </c>
      <c r="B3" s="182" t="s">
        <v>21</v>
      </c>
      <c r="C3" s="91">
        <f>'KW 1'!$C$3+357</f>
        <v>44557</v>
      </c>
      <c r="D3" s="92">
        <f>C3</f>
        <v>44557</v>
      </c>
      <c r="E3" s="91">
        <f>C3+1</f>
        <v>44558</v>
      </c>
      <c r="F3" s="92">
        <f>E3</f>
        <v>44558</v>
      </c>
      <c r="G3" s="91">
        <f>C3+2</f>
        <v>44559</v>
      </c>
      <c r="H3" s="92">
        <f>G3</f>
        <v>44559</v>
      </c>
      <c r="I3" s="91">
        <f>C3+3</f>
        <v>44560</v>
      </c>
      <c r="J3" s="92">
        <f>I3</f>
        <v>44560</v>
      </c>
      <c r="K3" s="91">
        <f>C3+4</f>
        <v>44561</v>
      </c>
      <c r="L3" s="92">
        <f>K3</f>
        <v>44561</v>
      </c>
      <c r="M3" s="91">
        <f>C3+5</f>
        <v>44562</v>
      </c>
      <c r="N3" s="92">
        <f>M3</f>
        <v>44562</v>
      </c>
      <c r="O3" s="91">
        <f>C3+6</f>
        <v>44563</v>
      </c>
      <c r="P3" s="92">
        <f>O3</f>
        <v>44563</v>
      </c>
      <c r="Q3" s="14" t="s">
        <v>0</v>
      </c>
      <c r="R3" s="15" t="s">
        <v>0</v>
      </c>
      <c r="S3" s="178" t="s">
        <v>1</v>
      </c>
      <c r="T3" s="178" t="s">
        <v>2</v>
      </c>
      <c r="U3" s="180" t="s">
        <v>3</v>
      </c>
      <c r="V3" s="176"/>
      <c r="W3" s="176" t="s">
        <v>4</v>
      </c>
    </row>
    <row r="4" spans="1:23" ht="15.75" thickBot="1" x14ac:dyDescent="0.3">
      <c r="A4" s="179"/>
      <c r="B4" s="183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81"/>
      <c r="V4" s="177"/>
      <c r="W4" s="177"/>
    </row>
    <row r="5" spans="1:23" x14ac:dyDescent="0.25">
      <c r="A5" s="19" t="str">
        <f>Start!A5</f>
        <v>Postbearbeitung Bestand</v>
      </c>
      <c r="B5" s="134">
        <f>'KW 51'!S5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5">
        <f>'KW 51'!S6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6">
        <f>'KW 51'!S7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5">
        <f>'KW 51'!S9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5">
        <f>'KW 51'!S10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5">
        <f>'KW 51'!S11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5">
        <f>'KW 51'!S12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5">
        <f>'KW 51'!S14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4.1" customHeight="1" thickBot="1" x14ac:dyDescent="0.3">
      <c r="A15" s="29" t="str">
        <f>Start!A15</f>
        <v>Einfachaufträge</v>
      </c>
      <c r="B15" s="135">
        <f>'KW 51'!S15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127"/>
      <c r="L16" s="127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5">
        <f>'KW 51'!S17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128"/>
      <c r="L19" s="128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39">
        <f>'KW 51'!S20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4">
        <f>'KW 51'!S22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5">
        <f>'KW 51'!S23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6">
        <f>'KW 51'!S24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4">
        <f>'KW 51'!S26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5">
        <f>'KW 51'!S27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6">
        <f>'KW 51'!S28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39">
        <f>'KW 51'!S30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K32" s="129"/>
      <c r="L32" s="129"/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4">
        <f>'KW 51'!S35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D30">
    <cfRule type="expression" dxfId="62" priority="19" stopIfTrue="1">
      <formula>AND(NOT(OR(ISBLANK($A5),$A5="Summe ")),$C$1="altes Jahr")</formula>
    </cfRule>
    <cfRule type="expression" dxfId="61" priority="21" stopIfTrue="1">
      <formula>AND(NOT(OR(ISBLANK($A5),$A5="Summe ")),WEEKDAY($C$3,2)&gt;5)</formula>
    </cfRule>
  </conditionalFormatting>
  <conditionalFormatting sqref="E5:F30">
    <cfRule type="expression" dxfId="60" priority="16" stopIfTrue="1">
      <formula>AND(NOT(OR(ISBLANK($A5),$A5="Summe ")),$E$1="altes Jahr")</formula>
    </cfRule>
    <cfRule type="expression" dxfId="59" priority="18" stopIfTrue="1">
      <formula>AND(NOT(OR(ISBLANK($A5),$A5="Summe ")),WEEKDAY($E$3,2)&gt;5)</formula>
    </cfRule>
  </conditionalFormatting>
  <conditionalFormatting sqref="G5:H30">
    <cfRule type="expression" dxfId="58" priority="13" stopIfTrue="1">
      <formula>AND(NOT(OR(ISBLANK($A5),$A5="Summe ")),$G$1="altes Jahr")</formula>
    </cfRule>
    <cfRule type="expression" dxfId="57" priority="15" stopIfTrue="1">
      <formula>AND(NOT(OR(ISBLANK($A5),$A5="Summe ")),WEEKDAY($G$3,2)&gt;5)</formula>
    </cfRule>
  </conditionalFormatting>
  <conditionalFormatting sqref="I5:J30">
    <cfRule type="expression" dxfId="56" priority="10" stopIfTrue="1">
      <formula>AND(NOT(OR(ISBLANK($A5),$A5="Summe ")),$I$1="altes Jahr")</formula>
    </cfRule>
    <cfRule type="expression" dxfId="55" priority="12" stopIfTrue="1">
      <formula>AND(NOT(OR(ISBLANK($A5),$A5="Summe ")),WEEKDAY($I$3,2)&gt;5)</formula>
    </cfRule>
  </conditionalFormatting>
  <conditionalFormatting sqref="K5:L30">
    <cfRule type="expression" dxfId="54" priority="7" stopIfTrue="1">
      <formula>AND(NOT(OR(ISBLANK($A5),$A5="Summe ")),$K$1="altes Jahr")</formula>
    </cfRule>
    <cfRule type="expression" dxfId="53" priority="9" stopIfTrue="1">
      <formula>AND(NOT(OR(ISBLANK($A5),$A5="Summe ")),WEEKDAY($K$3,2)&gt;5)</formula>
    </cfRule>
  </conditionalFormatting>
  <conditionalFormatting sqref="M5:N30">
    <cfRule type="expression" dxfId="52" priority="4" stopIfTrue="1">
      <formula>AND(NOT(OR(ISBLANK($A5),$A5="Summe ")),$M$1="altes Jahr")</formula>
    </cfRule>
    <cfRule type="expression" dxfId="51" priority="6" stopIfTrue="1">
      <formula>AND(NOT(OR(ISBLANK($A5),$A5="Summe ")),WEEKDAY($M$3,2)&gt;5)</formula>
    </cfRule>
  </conditionalFormatting>
  <conditionalFormatting sqref="O5:P30">
    <cfRule type="expression" dxfId="50" priority="1" stopIfTrue="1">
      <formula>AND(NOT(OR(ISBLANK($A5),$A5="Summe ")),$O$1="altes Jahr")</formula>
    </cfRule>
    <cfRule type="expression" dxfId="49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D6BAD595-6724-4BF8-AFBF-68A3FA5B7BED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0CDB4C44-F725-4941-A5FA-F48F4A36E4F5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1ADC7467-5143-4353-82E6-B97FC2733E95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448CA8F7-85E8-4429-98FF-605C57D7EE08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BBFB8A6B-B616-4F1B-B4FE-130D787BBE3E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BEA70D12-6F91-4414-A79E-01D46D9CB4E8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EE29F968-94F7-4649-BB89-1CFFA0A18962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Tabelle56"/>
  <dimension ref="A1:W37"/>
  <sheetViews>
    <sheetView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C1" s="2" t="str">
        <f>IF(C2=Start!$B$1,"",IF(C2&lt;Start!$B$1,"altes Jahr",IF(C2&gt;Start!$B$1,"neues Jahr")))</f>
        <v>neues Jahr</v>
      </c>
      <c r="E1" s="2" t="str">
        <f>IF(E2=Start!$B$1,"",IF(E2&lt;Start!$B$1,"altes Jahr",IF(E2&gt;Start!$B$1,"neues Jahr")))</f>
        <v>neues Jahr</v>
      </c>
      <c r="G1" s="2" t="str">
        <f>IF(G2=Start!$B$1,"",IF(G2&lt;Start!$B$1,"altes Jahr",IF(G2&gt;Start!$B$1,"neues Jahr")))</f>
        <v>neues Jahr</v>
      </c>
      <c r="I1" s="2" t="str">
        <f>IF(I2=Start!$B$1,"",IF(I2&lt;Start!$B$1,"altes Jahr",IF(I2&gt;Start!$B$1,"neues Jahr")))</f>
        <v>neues Jahr</v>
      </c>
      <c r="K1" s="2" t="str">
        <f>IF(K2=Start!$B$1,"",IF(K2&lt;Start!$B$1,"altes Jahr",IF(K2&gt;Start!$B$1,"neues Jahr")))</f>
        <v>neues Jahr</v>
      </c>
      <c r="M1" s="2" t="str">
        <f>IF(M2=Start!$B$1,"",IF(M2&lt;Start!$B$1,"altes Jahr",IF(M2&gt;Start!$B$1,"neues Jahr")))</f>
        <v>neues Jahr</v>
      </c>
      <c r="O1" s="2" t="str">
        <f>IF(O2=Start!$B$1,"",IF(O2&lt;Start!$B$1,"altes Jahr",IF(O2&gt;Start!$B$1,"neues Jahr")))</f>
        <v>neues Jahr</v>
      </c>
    </row>
    <row r="2" spans="1:23" ht="15.75" thickBot="1" x14ac:dyDescent="0.3">
      <c r="A2" s="6"/>
      <c r="C2" s="122">
        <f>YEAR(C3)</f>
        <v>2022</v>
      </c>
      <c r="D2" s="119" t="str">
        <f>IFERROR(VLOOKUP(C3,Start!$F$2:$G$22,2,0),"")</f>
        <v/>
      </c>
      <c r="E2" s="122">
        <f>YEAR(E3)</f>
        <v>2022</v>
      </c>
      <c r="F2" s="119" t="str">
        <f>IFERROR(VLOOKUP(E3,Start!$F$2:$G$22,2,0),"")</f>
        <v/>
      </c>
      <c r="G2" s="122">
        <f>YEAR(G3)</f>
        <v>2022</v>
      </c>
      <c r="H2" s="119" t="str">
        <f>IFERROR(VLOOKUP(G3,Start!$F$2:$G$22,2,0),"")</f>
        <v/>
      </c>
      <c r="I2" s="122">
        <f>YEAR(I3)</f>
        <v>2022</v>
      </c>
      <c r="J2" s="119" t="str">
        <f>IFERROR(VLOOKUP(I3,Start!$F$2:$G$22,2,0),"")</f>
        <v/>
      </c>
      <c r="K2" s="122">
        <f>YEAR(K3)</f>
        <v>2022</v>
      </c>
      <c r="L2" s="119" t="str">
        <f>IFERROR(VLOOKUP(K3,Start!$F$2:$G$22,2,0),"")</f>
        <v/>
      </c>
      <c r="M2" s="122">
        <f>YEAR(M3)</f>
        <v>2022</v>
      </c>
      <c r="N2" s="119" t="str">
        <f>IFERROR(VLOOKUP(M3,Start!$F$2:$G$22,2,0),"")</f>
        <v/>
      </c>
      <c r="O2" s="122">
        <f>YEAR(O3)</f>
        <v>2022</v>
      </c>
      <c r="P2" s="119" t="str">
        <f>IFERROR(VLOOKUP(O3,Start!$F$2:$G$22,2,0),"")</f>
        <v/>
      </c>
    </row>
    <row r="3" spans="1:23" ht="15.75" thickBot="1" x14ac:dyDescent="0.3">
      <c r="A3" s="178" t="s">
        <v>20</v>
      </c>
      <c r="B3" s="182" t="s">
        <v>21</v>
      </c>
      <c r="C3" s="91">
        <f>'KW 1'!$C$3+364</f>
        <v>44564</v>
      </c>
      <c r="D3" s="92">
        <f>C3</f>
        <v>44564</v>
      </c>
      <c r="E3" s="91">
        <f>C3+1</f>
        <v>44565</v>
      </c>
      <c r="F3" s="92">
        <f>E3</f>
        <v>44565</v>
      </c>
      <c r="G3" s="91">
        <f>C3+2</f>
        <v>44566</v>
      </c>
      <c r="H3" s="92">
        <f>G3</f>
        <v>44566</v>
      </c>
      <c r="I3" s="91">
        <f>C3+3</f>
        <v>44567</v>
      </c>
      <c r="J3" s="92">
        <f>I3</f>
        <v>44567</v>
      </c>
      <c r="K3" s="91">
        <f>C3+4</f>
        <v>44568</v>
      </c>
      <c r="L3" s="92">
        <f>K3</f>
        <v>44568</v>
      </c>
      <c r="M3" s="91">
        <f>C3+5</f>
        <v>44569</v>
      </c>
      <c r="N3" s="92">
        <f>M3</f>
        <v>44569</v>
      </c>
      <c r="O3" s="91">
        <f>C3+6</f>
        <v>44570</v>
      </c>
      <c r="P3" s="92">
        <f>O3</f>
        <v>44570</v>
      </c>
      <c r="Q3" s="14" t="s">
        <v>0</v>
      </c>
      <c r="R3" s="15" t="s">
        <v>0</v>
      </c>
      <c r="S3" s="178" t="s">
        <v>1</v>
      </c>
      <c r="T3" s="178" t="s">
        <v>2</v>
      </c>
      <c r="U3" s="180" t="s">
        <v>3</v>
      </c>
      <c r="V3" s="176"/>
      <c r="W3" s="176" t="s">
        <v>4</v>
      </c>
    </row>
    <row r="4" spans="1:23" ht="15.75" thickBot="1" x14ac:dyDescent="0.3">
      <c r="A4" s="179"/>
      <c r="B4" s="183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81"/>
      <c r="V4" s="177"/>
      <c r="W4" s="177"/>
    </row>
    <row r="5" spans="1:23" x14ac:dyDescent="0.25">
      <c r="A5" s="19" t="str">
        <f>Start!A5</f>
        <v>Postbearbeitung Bestand</v>
      </c>
      <c r="B5" s="134">
        <f>'KW 52'!S5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5">
        <f>'KW 52'!S6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6">
        <f>'KW 52'!S7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5">
        <f>'KW 52'!S9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5">
        <f>'KW 52'!S10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5">
        <f>'KW 52'!S11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5">
        <f>'KW 52'!S12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5">
        <f>'KW 52'!S14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.75" thickBot="1" x14ac:dyDescent="0.3">
      <c r="A15" s="29" t="str">
        <f>Start!A15</f>
        <v>Einfachaufträge</v>
      </c>
      <c r="B15" s="135">
        <f>'KW 52'!S15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5">
        <f>'KW 52'!S17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39">
        <f>'KW 52'!S20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4">
        <f>'KW 52'!S22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5">
        <f>'KW 52'!S23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6">
        <f>'KW 52'!S24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4">
        <f>'KW 52'!S26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5">
        <f>'KW 52'!S27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6">
        <f>'KW 52'!S28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39">
        <f>'KW 52'!S30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4">
        <f>'KW 52'!S35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D30">
    <cfRule type="expression" dxfId="41" priority="19" stopIfTrue="1">
      <formula>AND(NOT(OR(ISBLANK($A5),$A5="Summe ")),$C$1="altes Jahr")</formula>
    </cfRule>
    <cfRule type="expression" dxfId="40" priority="21" stopIfTrue="1">
      <formula>AND(NOT(OR(ISBLANK($A5),$A5="Summe ")),WEEKDAY($C$3,2)&gt;5)</formula>
    </cfRule>
  </conditionalFormatting>
  <conditionalFormatting sqref="E5:F30">
    <cfRule type="expression" dxfId="39" priority="16" stopIfTrue="1">
      <formula>AND(NOT(OR(ISBLANK($A5),$A5="Summe ")),$E$1="altes Jahr")</formula>
    </cfRule>
    <cfRule type="expression" dxfId="38" priority="18" stopIfTrue="1">
      <formula>AND(NOT(OR(ISBLANK($A5),$A5="Summe ")),WEEKDAY($E$3,2)&gt;5)</formula>
    </cfRule>
  </conditionalFormatting>
  <conditionalFormatting sqref="G5:H30">
    <cfRule type="expression" dxfId="37" priority="13" stopIfTrue="1">
      <formula>AND(NOT(OR(ISBLANK($A5),$A5="Summe ")),$G$1="altes Jahr")</formula>
    </cfRule>
    <cfRule type="expression" dxfId="36" priority="15" stopIfTrue="1">
      <formula>AND(NOT(OR(ISBLANK($A5),$A5="Summe ")),WEEKDAY($G$3,2)&gt;5)</formula>
    </cfRule>
  </conditionalFormatting>
  <conditionalFormatting sqref="I5:J30">
    <cfRule type="expression" dxfId="35" priority="10" stopIfTrue="1">
      <formula>AND(NOT(OR(ISBLANK($A5),$A5="Summe ")),$I$1="altes Jahr")</formula>
    </cfRule>
    <cfRule type="expression" dxfId="34" priority="12" stopIfTrue="1">
      <formula>AND(NOT(OR(ISBLANK($A5),$A5="Summe ")),WEEKDAY($I$3,2)&gt;5)</formula>
    </cfRule>
  </conditionalFormatting>
  <conditionalFormatting sqref="K5:L30">
    <cfRule type="expression" dxfId="33" priority="7" stopIfTrue="1">
      <formula>AND(NOT(OR(ISBLANK($A5),$A5="Summe ")),$K$1="altes Jahr")</formula>
    </cfRule>
    <cfRule type="expression" dxfId="32" priority="9" stopIfTrue="1">
      <formula>AND(NOT(OR(ISBLANK($A5),$A5="Summe ")),WEEKDAY($K$3,2)&gt;5)</formula>
    </cfRule>
  </conditionalFormatting>
  <conditionalFormatting sqref="M5:N30">
    <cfRule type="expression" dxfId="31" priority="4" stopIfTrue="1">
      <formula>AND(NOT(OR(ISBLANK($A5),$A5="Summe ")),$M$1="altes Jahr")</formula>
    </cfRule>
    <cfRule type="expression" dxfId="30" priority="6" stopIfTrue="1">
      <formula>AND(NOT(OR(ISBLANK($A5),$A5="Summe ")),WEEKDAY($M$3,2)&gt;5)</formula>
    </cfRule>
  </conditionalFormatting>
  <conditionalFormatting sqref="O5:P30">
    <cfRule type="expression" dxfId="29" priority="1" stopIfTrue="1">
      <formula>AND(NOT(OR(ISBLANK($A5),$A5="Summe ")),$O$1="altes Jahr")</formula>
    </cfRule>
    <cfRule type="expression" dxfId="28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968B71C2-772C-41FB-B889-68A502E5E6E0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48DB9F68-B6FA-4586-A082-20EAA9228E56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FE2CA660-1E02-4629-A0A3-A7933532BF30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9BF3B8E4-3944-4D47-B775-4CEDAE8B9B17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362C1B06-2444-4F9E-8234-71595BF52552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22511CBA-291F-4EE0-8BE4-80A4882B6CFE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D1DC194A-8C8E-4ABA-81C3-7914ACE82B63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Tabelle57"/>
  <dimension ref="A1:W37"/>
  <sheetViews>
    <sheetView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C1" s="2" t="str">
        <f>IF(C2=Start!$B$1,"",IF(C2&lt;Start!$B$1,"altes Jahr",IF(C2&gt;Start!$B$1,"neues Jahr")))</f>
        <v>neues Jahr</v>
      </c>
      <c r="E1" s="2" t="str">
        <f>IF(E2=Start!$B$1,"",IF(E2&lt;Start!$B$1,"altes Jahr",IF(E2&gt;Start!$B$1,"neues Jahr")))</f>
        <v>neues Jahr</v>
      </c>
      <c r="G1" s="2" t="str">
        <f>IF(G2=Start!$B$1,"",IF(G2&lt;Start!$B$1,"altes Jahr",IF(G2&gt;Start!$B$1,"neues Jahr")))</f>
        <v>neues Jahr</v>
      </c>
      <c r="I1" s="2" t="str">
        <f>IF(I2=Start!$B$1,"",IF(I2&lt;Start!$B$1,"altes Jahr",IF(I2&gt;Start!$B$1,"neues Jahr")))</f>
        <v>neues Jahr</v>
      </c>
      <c r="K1" s="2" t="str">
        <f>IF(K2=Start!$B$1,"",IF(K2&lt;Start!$B$1,"altes Jahr",IF(K2&gt;Start!$B$1,"neues Jahr")))</f>
        <v>neues Jahr</v>
      </c>
      <c r="M1" s="2" t="str">
        <f>IF(M2=Start!$B$1,"",IF(M2&lt;Start!$B$1,"altes Jahr",IF(M2&gt;Start!$B$1,"neues Jahr")))</f>
        <v>neues Jahr</v>
      </c>
      <c r="O1" s="2" t="str">
        <f>IF(O2=Start!$B$1,"",IF(O2&lt;Start!$B$1,"altes Jahr",IF(O2&gt;Start!$B$1,"neues Jahr")))</f>
        <v>neues Jahr</v>
      </c>
    </row>
    <row r="2" spans="1:23" ht="15.75" thickBot="1" x14ac:dyDescent="0.3">
      <c r="A2" s="6"/>
      <c r="C2" s="122">
        <f>YEAR(C3)</f>
        <v>2022</v>
      </c>
      <c r="D2" s="119" t="str">
        <f>IFERROR(VLOOKUP(C3,Start!$F$2:$G$22,2,0),"")</f>
        <v/>
      </c>
      <c r="E2" s="122">
        <f>YEAR(E3)</f>
        <v>2022</v>
      </c>
      <c r="F2" s="119" t="str">
        <f>IFERROR(VLOOKUP(E3,Start!$F$2:$G$22,2,0),"")</f>
        <v/>
      </c>
      <c r="G2" s="122">
        <f>YEAR(G3)</f>
        <v>2022</v>
      </c>
      <c r="H2" s="119" t="str">
        <f>IFERROR(VLOOKUP(G3,Start!$F$2:$G$22,2,0),"")</f>
        <v/>
      </c>
      <c r="I2" s="122">
        <f>YEAR(I3)</f>
        <v>2022</v>
      </c>
      <c r="J2" s="119" t="str">
        <f>IFERROR(VLOOKUP(I3,Start!$F$2:$G$22,2,0),"")</f>
        <v/>
      </c>
      <c r="K2" s="122">
        <f>YEAR(K3)</f>
        <v>2022</v>
      </c>
      <c r="L2" s="119" t="str">
        <f>IFERROR(VLOOKUP(K3,Start!$F$2:$G$22,2,0),"")</f>
        <v/>
      </c>
      <c r="M2" s="122">
        <f>YEAR(M3)</f>
        <v>2022</v>
      </c>
      <c r="N2" s="119" t="str">
        <f>IFERROR(VLOOKUP(M3,Start!$F$2:$G$22,2,0),"")</f>
        <v/>
      </c>
      <c r="O2" s="122">
        <f>YEAR(O3)</f>
        <v>2022</v>
      </c>
      <c r="P2" s="119" t="str">
        <f>IFERROR(VLOOKUP(O3,Start!$F$2:$G$22,2,0),"")</f>
        <v/>
      </c>
    </row>
    <row r="3" spans="1:23" ht="15.75" thickBot="1" x14ac:dyDescent="0.3">
      <c r="A3" s="178" t="s">
        <v>20</v>
      </c>
      <c r="B3" s="182" t="s">
        <v>21</v>
      </c>
      <c r="C3" s="91">
        <f>'KW 1'!$C$3+371</f>
        <v>44571</v>
      </c>
      <c r="D3" s="92">
        <f>C3</f>
        <v>44571</v>
      </c>
      <c r="E3" s="91">
        <f>C3+1</f>
        <v>44572</v>
      </c>
      <c r="F3" s="92">
        <f>E3</f>
        <v>44572</v>
      </c>
      <c r="G3" s="91">
        <f>C3+2</f>
        <v>44573</v>
      </c>
      <c r="H3" s="92">
        <f>G3</f>
        <v>44573</v>
      </c>
      <c r="I3" s="91">
        <f>C3+3</f>
        <v>44574</v>
      </c>
      <c r="J3" s="92">
        <f>I3</f>
        <v>44574</v>
      </c>
      <c r="K3" s="91">
        <f>C3+4</f>
        <v>44575</v>
      </c>
      <c r="L3" s="92">
        <f>K3</f>
        <v>44575</v>
      </c>
      <c r="M3" s="91">
        <f>C3+5</f>
        <v>44576</v>
      </c>
      <c r="N3" s="92">
        <f>M3</f>
        <v>44576</v>
      </c>
      <c r="O3" s="91">
        <f>C3+6</f>
        <v>44577</v>
      </c>
      <c r="P3" s="92">
        <f>O3</f>
        <v>44577</v>
      </c>
      <c r="Q3" s="14" t="s">
        <v>0</v>
      </c>
      <c r="R3" s="15" t="s">
        <v>0</v>
      </c>
      <c r="S3" s="178" t="s">
        <v>1</v>
      </c>
      <c r="T3" s="178" t="s">
        <v>2</v>
      </c>
      <c r="U3" s="180" t="s">
        <v>3</v>
      </c>
      <c r="V3" s="176"/>
      <c r="W3" s="176" t="s">
        <v>4</v>
      </c>
    </row>
    <row r="4" spans="1:23" ht="15.75" thickBot="1" x14ac:dyDescent="0.3">
      <c r="A4" s="179"/>
      <c r="B4" s="183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81"/>
      <c r="V4" s="177"/>
      <c r="W4" s="177"/>
    </row>
    <row r="5" spans="1:23" x14ac:dyDescent="0.25">
      <c r="A5" s="19" t="str">
        <f>Start!A5</f>
        <v>Postbearbeitung Bestand</v>
      </c>
      <c r="B5" s="134">
        <f>'KW 53.1'!S5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5">
        <f>'KW 53.1'!S6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6">
        <f>'KW 53.1'!S7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5">
        <f>'KW 53.1'!S9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5">
        <f>'KW 53.1'!S10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5">
        <f>'KW 53.1'!S11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5">
        <f>'KW 53.1'!S12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5">
        <f>'KW 53.1'!S14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2.6" customHeight="1" thickBot="1" x14ac:dyDescent="0.3">
      <c r="A15" s="29" t="str">
        <f>Start!A15</f>
        <v>Einfachaufträge</v>
      </c>
      <c r="B15" s="135">
        <f>'KW 53.1'!S15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1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5">
        <f>'KW 53.1'!S17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39">
        <f>'KW 53.1'!S20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4">
        <f>'KW 53.1'!S22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5">
        <f>'KW 53.1'!S23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6">
        <f>'KW 53.1'!S24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4">
        <f>'KW 53.1'!S26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5">
        <f>'KW 53.1'!S27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6">
        <f>'KW 53.1'!S28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39">
        <f>'KW 53.1'!S30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4">
        <f>'KW 53.1'!S35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D30">
    <cfRule type="expression" dxfId="20" priority="19" stopIfTrue="1">
      <formula>AND(NOT(OR(ISBLANK($A5),$A5="Summe ")),$C$1="altes Jahr")</formula>
    </cfRule>
    <cfRule type="expression" dxfId="19" priority="21" stopIfTrue="1">
      <formula>AND(NOT(OR(ISBLANK($A5),$A5="Summe ")),WEEKDAY($C$3,2)&gt;5)</formula>
    </cfRule>
  </conditionalFormatting>
  <conditionalFormatting sqref="E5:F30">
    <cfRule type="expression" dxfId="18" priority="16" stopIfTrue="1">
      <formula>AND(NOT(OR(ISBLANK($A5),$A5="Summe ")),$E$1="altes Jahr")</formula>
    </cfRule>
    <cfRule type="expression" dxfId="17" priority="18" stopIfTrue="1">
      <formula>AND(NOT(OR(ISBLANK($A5),$A5="Summe ")),WEEKDAY($E$3,2)&gt;5)</formula>
    </cfRule>
  </conditionalFormatting>
  <conditionalFormatting sqref="G5:H30">
    <cfRule type="expression" dxfId="16" priority="13" stopIfTrue="1">
      <formula>AND(NOT(OR(ISBLANK($A5),$A5="Summe ")),$G$1="altes Jahr")</formula>
    </cfRule>
    <cfRule type="expression" dxfId="15" priority="15" stopIfTrue="1">
      <formula>AND(NOT(OR(ISBLANK($A5),$A5="Summe ")),WEEKDAY($G$3,2)&gt;5)</formula>
    </cfRule>
  </conditionalFormatting>
  <conditionalFormatting sqref="I5:J30">
    <cfRule type="expression" dxfId="14" priority="10" stopIfTrue="1">
      <formula>AND(NOT(OR(ISBLANK($A5),$A5="Summe ")),$I$1="altes Jahr")</formula>
    </cfRule>
    <cfRule type="expression" dxfId="13" priority="12" stopIfTrue="1">
      <formula>AND(NOT(OR(ISBLANK($A5),$A5="Summe ")),WEEKDAY($I$3,2)&gt;5)</formula>
    </cfRule>
  </conditionalFormatting>
  <conditionalFormatting sqref="K5:L30">
    <cfRule type="expression" dxfId="12" priority="7" stopIfTrue="1">
      <formula>AND(NOT(OR(ISBLANK($A5),$A5="Summe ")),$K$1="altes Jahr")</formula>
    </cfRule>
    <cfRule type="expression" dxfId="11" priority="9" stopIfTrue="1">
      <formula>AND(NOT(OR(ISBLANK($A5),$A5="Summe ")),WEEKDAY($K$3,2)&gt;5)</formula>
    </cfRule>
  </conditionalFormatting>
  <conditionalFormatting sqref="M5:N30">
    <cfRule type="expression" dxfId="10" priority="4" stopIfTrue="1">
      <formula>AND(NOT(OR(ISBLANK($A5),$A5="Summe ")),$M$1="altes Jahr")</formula>
    </cfRule>
    <cfRule type="expression" dxfId="9" priority="6" stopIfTrue="1">
      <formula>AND(NOT(OR(ISBLANK($A5),$A5="Summe ")),WEEKDAY($M$3,2)&gt;5)</formula>
    </cfRule>
  </conditionalFormatting>
  <conditionalFormatting sqref="O5:P30">
    <cfRule type="expression" dxfId="8" priority="1" stopIfTrue="1">
      <formula>AND(NOT(OR(ISBLANK($A5),$A5="Summe ")),$O$1="altes Jahr")</formula>
    </cfRule>
    <cfRule type="expression" dxfId="7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7F219950-F2D1-403A-928D-9777097A6944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B623C49C-BF1D-466F-BEEE-1910DE1AED56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BA68FEBA-0EE9-4029-99A2-804294D5C29D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83BFB9FD-6317-4E78-AFA0-0D502207B592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9588366F-0BCA-4A0F-807B-30FE5FC574D7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CF60EDE8-33DA-4063-BC09-AD9AF1F30FC9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E80FA380-8013-4B65-8302-0EF3547B87D9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U37"/>
  <sheetViews>
    <sheetView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2" customWidth="1"/>
    <col min="3" max="16" width="10.7109375" style="2" customWidth="1"/>
    <col min="17" max="17" width="10.5703125" style="2" customWidth="1"/>
    <col min="18" max="16384" width="10.5703125" style="2"/>
  </cols>
  <sheetData>
    <row r="1" spans="1:21" x14ac:dyDescent="0.25">
      <c r="A1" s="6"/>
      <c r="B1" s="12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B2" s="13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78" t="s">
        <v>20</v>
      </c>
      <c r="B3" s="178" t="s">
        <v>21</v>
      </c>
      <c r="C3" s="91">
        <f>'KW 1'!$C$3+14</f>
        <v>44214</v>
      </c>
      <c r="D3" s="92">
        <f>C3</f>
        <v>44214</v>
      </c>
      <c r="E3" s="91">
        <f>C3+1</f>
        <v>44215</v>
      </c>
      <c r="F3" s="92">
        <f>E3</f>
        <v>44215</v>
      </c>
      <c r="G3" s="91">
        <f>C3+2</f>
        <v>44216</v>
      </c>
      <c r="H3" s="92">
        <f>G3</f>
        <v>44216</v>
      </c>
      <c r="I3" s="91">
        <f>C3+3</f>
        <v>44217</v>
      </c>
      <c r="J3" s="92">
        <f>I3</f>
        <v>44217</v>
      </c>
      <c r="K3" s="91">
        <f>C3+4</f>
        <v>44218</v>
      </c>
      <c r="L3" s="92">
        <f>K3</f>
        <v>44218</v>
      </c>
      <c r="M3" s="91">
        <f>C3+5</f>
        <v>44219</v>
      </c>
      <c r="N3" s="92">
        <f>M3</f>
        <v>44219</v>
      </c>
      <c r="O3" s="91">
        <f>C3+6</f>
        <v>44220</v>
      </c>
      <c r="P3" s="92">
        <f>O3</f>
        <v>44220</v>
      </c>
      <c r="Q3" s="14" t="s">
        <v>0</v>
      </c>
      <c r="R3" s="15" t="s">
        <v>0</v>
      </c>
      <c r="S3" s="178" t="s">
        <v>1</v>
      </c>
      <c r="T3" s="178" t="s">
        <v>2</v>
      </c>
      <c r="U3" s="176" t="s">
        <v>4</v>
      </c>
    </row>
    <row r="4" spans="1:21" ht="15.75" thickBot="1" x14ac:dyDescent="0.3">
      <c r="A4" s="179"/>
      <c r="B4" s="17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77"/>
    </row>
    <row r="5" spans="1:21" x14ac:dyDescent="0.25">
      <c r="A5" s="19" t="str">
        <f>Start!A5</f>
        <v>Postbearbeitung Bestand</v>
      </c>
      <c r="B5" s="134">
        <f>'KW 2'!S5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5">
        <f>'KW 2'!S6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>C6+E6+G6+I6+K6+M6+O6</f>
        <v>0</v>
      </c>
      <c r="R6" s="26">
        <f>D6+F6+H6+J6+L6+N6+P6</f>
        <v>0</v>
      </c>
      <c r="S6" s="27">
        <f>B6+Q6-R6</f>
        <v>0</v>
      </c>
      <c r="T6" s="27">
        <f t="shared" ref="T6:T7" si="1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6">
        <f>'KW 2'!S7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ref="Q7:R7" si="2">C7+E7+G7+I7+K7+M7+O7</f>
        <v>0</v>
      </c>
      <c r="R7" s="31">
        <f t="shared" si="2"/>
        <v>0</v>
      </c>
      <c r="S7" s="32">
        <f>B7+Q7-R7</f>
        <v>0</v>
      </c>
      <c r="T7" s="32">
        <f t="shared" si="1"/>
        <v>0</v>
      </c>
      <c r="U7" s="33">
        <f t="shared" si="0"/>
        <v>0</v>
      </c>
    </row>
    <row r="8" spans="1:21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5">
        <f>'KW 2'!S9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3">C9+E9+G9+I9+K9+M9+O9</f>
        <v>0</v>
      </c>
      <c r="R9" s="21">
        <f t="shared" si="3"/>
        <v>0</v>
      </c>
      <c r="S9" s="22">
        <f>B9+Q9-R9</f>
        <v>0</v>
      </c>
      <c r="T9" s="22">
        <f t="shared" ref="T9:T17" si="4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5">
        <f>'KW 2'!S10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3"/>
        <v>0</v>
      </c>
      <c r="R10" s="26">
        <f t="shared" si="3"/>
        <v>0</v>
      </c>
      <c r="S10" s="27">
        <f>B10+Q10-R10</f>
        <v>0</v>
      </c>
      <c r="T10" s="27">
        <f t="shared" si="4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5">
        <f>'KW 2'!S11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3"/>
        <v>0</v>
      </c>
      <c r="R11" s="26">
        <f t="shared" si="3"/>
        <v>0</v>
      </c>
      <c r="S11" s="27">
        <f>B11+Q11-R11</f>
        <v>2</v>
      </c>
      <c r="T11" s="27">
        <f t="shared" si="4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5">
        <f>'KW 2'!S12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3"/>
        <v>0</v>
      </c>
      <c r="R12" s="31">
        <f t="shared" si="3"/>
        <v>0</v>
      </c>
      <c r="S12" s="32">
        <f>B12+Q12-R12</f>
        <v>0</v>
      </c>
      <c r="T12" s="32">
        <f t="shared" si="4"/>
        <v>0</v>
      </c>
      <c r="U12" s="33">
        <f t="shared" si="0"/>
        <v>0</v>
      </c>
    </row>
    <row r="13" spans="1:21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5">
        <f>'KW 2'!S14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5">C14+E14+G14+I14+K14+M14+O14</f>
        <v>0</v>
      </c>
      <c r="R14" s="21">
        <f t="shared" si="5"/>
        <v>0</v>
      </c>
      <c r="S14" s="22">
        <f>B14+Q14-R14</f>
        <v>0</v>
      </c>
      <c r="T14" s="22">
        <f t="shared" si="4"/>
        <v>0</v>
      </c>
      <c r="U14" s="23">
        <f t="shared" si="0"/>
        <v>0</v>
      </c>
    </row>
    <row r="15" spans="1:21" ht="13.5" customHeight="1" thickBot="1" x14ac:dyDescent="0.3">
      <c r="A15" s="29" t="str">
        <f>Start!A15</f>
        <v>Einfachaufträge</v>
      </c>
      <c r="B15" s="135">
        <f>'KW 2'!S15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5"/>
        <v>0</v>
      </c>
      <c r="R15" s="31">
        <f t="shared" si="5"/>
        <v>0</v>
      </c>
      <c r="S15" s="32">
        <f>B15+Q15-R15</f>
        <v>0</v>
      </c>
      <c r="T15" s="32">
        <f t="shared" si="4"/>
        <v>0</v>
      </c>
      <c r="U15" s="33">
        <f t="shared" si="0"/>
        <v>0</v>
      </c>
    </row>
    <row r="16" spans="1:21" ht="7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5">
        <f>'KW 2'!S17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6">C17+E17+G17+I17+K17+M17+O17</f>
        <v>0</v>
      </c>
      <c r="R17" s="43">
        <f t="shared" si="6"/>
        <v>0</v>
      </c>
      <c r="S17" s="44">
        <f>B17+Q17-R17</f>
        <v>0</v>
      </c>
      <c r="T17" s="44">
        <f t="shared" si="4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 t="shared" ref="B18:L18" si="7">SUM(B5:B17)</f>
        <v>2</v>
      </c>
      <c r="C18" s="48">
        <f>SUM(C5:C17)</f>
        <v>0</v>
      </c>
      <c r="D18" s="48">
        <f>SUM(D5:D17)</f>
        <v>0</v>
      </c>
      <c r="E18" s="48">
        <f t="shared" si="7"/>
        <v>0</v>
      </c>
      <c r="F18" s="48">
        <f t="shared" si="7"/>
        <v>0</v>
      </c>
      <c r="G18" s="48">
        <f t="shared" si="7"/>
        <v>0</v>
      </c>
      <c r="H18" s="48">
        <f t="shared" si="7"/>
        <v>0</v>
      </c>
      <c r="I18" s="48">
        <f t="shared" si="7"/>
        <v>0</v>
      </c>
      <c r="J18" s="48">
        <f t="shared" si="7"/>
        <v>0</v>
      </c>
      <c r="K18" s="48">
        <f t="shared" si="7"/>
        <v>0</v>
      </c>
      <c r="L18" s="48">
        <f t="shared" si="7"/>
        <v>0</v>
      </c>
      <c r="M18" s="48">
        <f t="shared" ref="M18:T18" si="8">SUM(M5:M17)</f>
        <v>0</v>
      </c>
      <c r="N18" s="48">
        <f t="shared" si="8"/>
        <v>0</v>
      </c>
      <c r="O18" s="48">
        <f t="shared" si="8"/>
        <v>0</v>
      </c>
      <c r="P18" s="48">
        <f t="shared" si="8"/>
        <v>0</v>
      </c>
      <c r="Q18" s="48">
        <f t="shared" si="8"/>
        <v>0</v>
      </c>
      <c r="R18" s="48">
        <f t="shared" si="8"/>
        <v>0</v>
      </c>
      <c r="S18" s="49">
        <f>SUM(S5:S17)</f>
        <v>2</v>
      </c>
      <c r="T18" s="49">
        <f t="shared" si="8"/>
        <v>0</v>
      </c>
      <c r="U18" s="49"/>
    </row>
    <row r="19" spans="1:21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39">
        <f>'KW 2'!S20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9">C20+E20+G20+I20+K20+M20+O20</f>
        <v>0</v>
      </c>
      <c r="R20" s="43">
        <f t="shared" si="9"/>
        <v>0</v>
      </c>
      <c r="S20" s="44">
        <f>B20+Q20-R20</f>
        <v>0</v>
      </c>
      <c r="T20" s="44">
        <f t="shared" ref="T20:T30" si="10">R20/5</f>
        <v>0</v>
      </c>
      <c r="U20" s="46">
        <f t="shared" si="0"/>
        <v>0</v>
      </c>
    </row>
    <row r="21" spans="1:21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5">
        <f>'KW 2'!S22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1">C22+E22+G22+I22+K22+M22+O22</f>
        <v>0</v>
      </c>
      <c r="R22" s="21">
        <f t="shared" si="11"/>
        <v>0</v>
      </c>
      <c r="S22" s="22">
        <f>B22+Q22-R22</f>
        <v>0</v>
      </c>
      <c r="T22" s="22">
        <f t="shared" si="10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5">
        <f>'KW 2'!S23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1"/>
        <v>0</v>
      </c>
      <c r="R23" s="26">
        <f t="shared" si="11"/>
        <v>0</v>
      </c>
      <c r="S23" s="27">
        <f>B23+Q23-R23</f>
        <v>0</v>
      </c>
      <c r="T23" s="27">
        <f t="shared" si="10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5">
        <f>'KW 2'!S24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1"/>
        <v>0</v>
      </c>
      <c r="R24" s="31">
        <f t="shared" si="11"/>
        <v>0</v>
      </c>
      <c r="S24" s="32">
        <f t="shared" ref="S24:S30" si="12">B24+Q24-R24</f>
        <v>0</v>
      </c>
      <c r="T24" s="32">
        <f t="shared" si="10"/>
        <v>0</v>
      </c>
      <c r="U24" s="33">
        <f t="shared" si="0"/>
        <v>0</v>
      </c>
    </row>
    <row r="25" spans="1:21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4">
        <f>'KW 2'!S26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3">C26+E26+G26+I26+K26+M26+O26</f>
        <v>0</v>
      </c>
      <c r="R26" s="21">
        <f t="shared" si="13"/>
        <v>0</v>
      </c>
      <c r="S26" s="22">
        <f t="shared" si="12"/>
        <v>1</v>
      </c>
      <c r="T26" s="22">
        <f t="shared" si="10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5">
        <f>'KW 2'!S27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3"/>
        <v>0</v>
      </c>
      <c r="R27" s="26">
        <f t="shared" si="13"/>
        <v>0</v>
      </c>
      <c r="S27" s="27">
        <f t="shared" si="12"/>
        <v>48</v>
      </c>
      <c r="T27" s="27">
        <f t="shared" si="10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6">
        <f>'KW 2'!S28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3"/>
        <v>0</v>
      </c>
      <c r="R28" s="31">
        <f t="shared" si="13"/>
        <v>0</v>
      </c>
      <c r="S28" s="32">
        <f t="shared" si="12"/>
        <v>7</v>
      </c>
      <c r="T28" s="32">
        <f t="shared" si="10"/>
        <v>0</v>
      </c>
      <c r="U28" s="33">
        <f t="shared" si="0"/>
        <v>0</v>
      </c>
    </row>
    <row r="29" spans="1:21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39">
        <f>'KW 2'!S30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4">C30+E30+G30+I30+K30+M30+O30</f>
        <v>0</v>
      </c>
      <c r="R30" s="43">
        <f t="shared" si="14"/>
        <v>0</v>
      </c>
      <c r="S30" s="44">
        <f t="shared" si="12"/>
        <v>0</v>
      </c>
      <c r="T30" s="44">
        <f t="shared" si="10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5">SUM(D20:D30)</f>
        <v>0</v>
      </c>
      <c r="E31" s="55">
        <f t="shared" si="15"/>
        <v>0</v>
      </c>
      <c r="F31" s="55">
        <f t="shared" si="15"/>
        <v>0</v>
      </c>
      <c r="G31" s="55">
        <f t="shared" si="15"/>
        <v>0</v>
      </c>
      <c r="H31" s="55">
        <f t="shared" si="15"/>
        <v>0</v>
      </c>
      <c r="I31" s="55">
        <f t="shared" si="15"/>
        <v>0</v>
      </c>
      <c r="J31" s="55">
        <f t="shared" si="15"/>
        <v>0</v>
      </c>
      <c r="K31" s="55">
        <f t="shared" si="15"/>
        <v>0</v>
      </c>
      <c r="L31" s="55">
        <f t="shared" si="15"/>
        <v>0</v>
      </c>
      <c r="M31" s="55">
        <f t="shared" si="15"/>
        <v>0</v>
      </c>
      <c r="N31" s="55">
        <f t="shared" si="15"/>
        <v>0</v>
      </c>
      <c r="O31" s="55">
        <f t="shared" si="15"/>
        <v>0</v>
      </c>
      <c r="P31" s="55">
        <f t="shared" si="15"/>
        <v>0</v>
      </c>
      <c r="Q31" s="55">
        <f t="shared" si="15"/>
        <v>0</v>
      </c>
      <c r="R31" s="55">
        <f t="shared" si="15"/>
        <v>0</v>
      </c>
      <c r="S31" s="55">
        <f t="shared" si="15"/>
        <v>56</v>
      </c>
      <c r="T31" s="55">
        <f t="shared" si="15"/>
        <v>0</v>
      </c>
      <c r="U31" s="55"/>
    </row>
    <row r="32" spans="1:21" ht="15.75" thickBot="1" x14ac:dyDescent="0.3">
      <c r="B32" s="144"/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R33" si="16">SUM(D22:D30)+D20+D18</f>
        <v>0</v>
      </c>
      <c r="E33" s="58">
        <f t="shared" si="16"/>
        <v>0</v>
      </c>
      <c r="F33" s="58">
        <f t="shared" si="16"/>
        <v>0</v>
      </c>
      <c r="G33" s="58">
        <f t="shared" si="16"/>
        <v>0</v>
      </c>
      <c r="H33" s="58">
        <f t="shared" si="16"/>
        <v>0</v>
      </c>
      <c r="I33" s="58">
        <f t="shared" si="16"/>
        <v>0</v>
      </c>
      <c r="J33" s="58">
        <f t="shared" si="16"/>
        <v>0</v>
      </c>
      <c r="K33" s="58">
        <f t="shared" si="16"/>
        <v>0</v>
      </c>
      <c r="L33" s="58">
        <f t="shared" si="16"/>
        <v>0</v>
      </c>
      <c r="M33" s="58">
        <f t="shared" si="16"/>
        <v>0</v>
      </c>
      <c r="N33" s="58">
        <f t="shared" si="16"/>
        <v>0</v>
      </c>
      <c r="O33" s="58">
        <f t="shared" si="16"/>
        <v>0</v>
      </c>
      <c r="P33" s="58">
        <f t="shared" si="16"/>
        <v>0</v>
      </c>
      <c r="Q33" s="58">
        <f t="shared" si="16"/>
        <v>0</v>
      </c>
      <c r="R33" s="58">
        <f t="shared" si="16"/>
        <v>0</v>
      </c>
      <c r="S33" s="58">
        <f>SUM(S22:S30)+S20+S18</f>
        <v>58</v>
      </c>
      <c r="T33" s="57">
        <f>SUM(T22:T30)+T22+T18</f>
        <v>0</v>
      </c>
      <c r="U33" s="57"/>
    </row>
    <row r="34" spans="1:21" ht="15.75" thickBot="1" x14ac:dyDescent="0.3">
      <c r="B34" s="144"/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4">
        <f>'KW 2'!S35</f>
        <v>1496</v>
      </c>
      <c r="P35" s="1" t="s">
        <v>107</v>
      </c>
      <c r="Q35" s="106"/>
      <c r="R35" s="107"/>
      <c r="S35" s="145">
        <f t="shared" ref="S35" si="17">B35+Q35-R35</f>
        <v>1496</v>
      </c>
    </row>
    <row r="36" spans="1:21" ht="15.75" thickBot="1" x14ac:dyDescent="0.3">
      <c r="B36" s="144"/>
      <c r="P36" s="1" t="s">
        <v>108</v>
      </c>
      <c r="Q36" s="103">
        <f>Q33+Q35</f>
        <v>0</v>
      </c>
      <c r="R36" s="104">
        <f t="shared" ref="R36:S36" si="18">R33+R35</f>
        <v>0</v>
      </c>
      <c r="S36" s="105">
        <f t="shared" si="18"/>
        <v>1554</v>
      </c>
    </row>
    <row r="37" spans="1:21" ht="15.75" thickTop="1" x14ac:dyDescent="0.25">
      <c r="B37" s="144"/>
    </row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D30">
    <cfRule type="expression" dxfId="1091" priority="19" stopIfTrue="1">
      <formula>AND(NOT(OR(ISBLANK($A5),$A5="Summe ")),$C$1="altes Jahr")</formula>
    </cfRule>
    <cfRule type="expression" dxfId="1090" priority="21" stopIfTrue="1">
      <formula>AND(NOT(OR(ISBLANK($A5),$A5="Summe ")),WEEKDAY($C$3,2)&gt;5)</formula>
    </cfRule>
  </conditionalFormatting>
  <conditionalFormatting sqref="E5:F30">
    <cfRule type="expression" dxfId="1089" priority="16" stopIfTrue="1">
      <formula>AND(NOT(OR(ISBLANK($A5),$A5="Summe ")),$E$1="altes Jahr")</formula>
    </cfRule>
    <cfRule type="expression" dxfId="1088" priority="18" stopIfTrue="1">
      <formula>AND(NOT(OR(ISBLANK($A5),$A5="Summe ")),WEEKDAY($E$3,2)&gt;5)</formula>
    </cfRule>
  </conditionalFormatting>
  <conditionalFormatting sqref="G5:H30">
    <cfRule type="expression" dxfId="1087" priority="13" stopIfTrue="1">
      <formula>AND(NOT(OR(ISBLANK($A5),$A5="Summe ")),$G$1="altes Jahr")</formula>
    </cfRule>
    <cfRule type="expression" dxfId="1086" priority="15" stopIfTrue="1">
      <formula>AND(NOT(OR(ISBLANK($A5),$A5="Summe ")),WEEKDAY($G$3,2)&gt;5)</formula>
    </cfRule>
  </conditionalFormatting>
  <conditionalFormatting sqref="I5:J30">
    <cfRule type="expression" dxfId="1085" priority="10" stopIfTrue="1">
      <formula>AND(NOT(OR(ISBLANK($A5),$A5="Summe ")),$I$1="altes Jahr")</formula>
    </cfRule>
    <cfRule type="expression" dxfId="1084" priority="12" stopIfTrue="1">
      <formula>AND(NOT(OR(ISBLANK($A5),$A5="Summe ")),WEEKDAY($I$3,2)&gt;5)</formula>
    </cfRule>
  </conditionalFormatting>
  <conditionalFormatting sqref="K5:L30">
    <cfRule type="expression" dxfId="1083" priority="7" stopIfTrue="1">
      <formula>AND(NOT(OR(ISBLANK($A5),$A5="Summe ")),$K$1="altes Jahr")</formula>
    </cfRule>
    <cfRule type="expression" dxfId="1082" priority="9" stopIfTrue="1">
      <formula>AND(NOT(OR(ISBLANK($A5),$A5="Summe ")),WEEKDAY($K$3,2)&gt;5)</formula>
    </cfRule>
  </conditionalFormatting>
  <conditionalFormatting sqref="M5:N30">
    <cfRule type="expression" dxfId="1081" priority="4" stopIfTrue="1">
      <formula>AND(NOT(OR(ISBLANK($A5),$A5="Summe ")),$M$1="altes Jahr")</formula>
    </cfRule>
    <cfRule type="expression" dxfId="1080" priority="6" stopIfTrue="1">
      <formula>AND(NOT(OR(ISBLANK($A5),$A5="Summe ")),WEEKDAY($M$3,2)&gt;5)</formula>
    </cfRule>
  </conditionalFormatting>
  <conditionalFormatting sqref="O5:P30">
    <cfRule type="expression" dxfId="1079" priority="1" stopIfTrue="1">
      <formula>AND(NOT(OR(ISBLANK($A5),$A5="Summe ")),$O$1="altes Jahr")</formula>
    </cfRule>
    <cfRule type="expression" dxfId="1078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F93CB6EC-401C-43C5-B8D4-3EE6ACB3CEE5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DEC38EE5-4B27-446D-9973-A9DCDD9C8DF9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D28EBB03-C171-455F-91F1-6568F7DB4038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5AA4E887-29F1-4794-9956-C132154B20B1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4D6829C8-A9B6-4737-9521-9D486F027B3A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631DAB4C-D9DE-4F43-91F7-760DAFFD9BEB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D8A99550-A1E4-473F-912E-8CF8EA998CFC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U37"/>
  <sheetViews>
    <sheetView zoomScale="90" zoomScaleNormal="90"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2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B1" s="12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B2" s="13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78" t="s">
        <v>20</v>
      </c>
      <c r="B3" s="178" t="s">
        <v>21</v>
      </c>
      <c r="C3" s="91">
        <f>'KW 1'!$C$3+21</f>
        <v>44221</v>
      </c>
      <c r="D3" s="92">
        <f>C3</f>
        <v>44221</v>
      </c>
      <c r="E3" s="91">
        <f>C3+1</f>
        <v>44222</v>
      </c>
      <c r="F3" s="92">
        <f>E3</f>
        <v>44222</v>
      </c>
      <c r="G3" s="91">
        <f>C3+2</f>
        <v>44223</v>
      </c>
      <c r="H3" s="92">
        <f>G3</f>
        <v>44223</v>
      </c>
      <c r="I3" s="91">
        <f>C3+3</f>
        <v>44224</v>
      </c>
      <c r="J3" s="92">
        <f>I3</f>
        <v>44224</v>
      </c>
      <c r="K3" s="91">
        <f>C3+4</f>
        <v>44225</v>
      </c>
      <c r="L3" s="92">
        <f>K3</f>
        <v>44225</v>
      </c>
      <c r="M3" s="91">
        <f>C3+5</f>
        <v>44226</v>
      </c>
      <c r="N3" s="92">
        <f>M3</f>
        <v>44226</v>
      </c>
      <c r="O3" s="91">
        <f>C3+6</f>
        <v>44227</v>
      </c>
      <c r="P3" s="92">
        <f>O3</f>
        <v>44227</v>
      </c>
      <c r="Q3" s="14" t="s">
        <v>0</v>
      </c>
      <c r="R3" s="15" t="s">
        <v>0</v>
      </c>
      <c r="S3" s="178" t="s">
        <v>1</v>
      </c>
      <c r="T3" s="178" t="s">
        <v>2</v>
      </c>
      <c r="U3" s="176" t="s">
        <v>4</v>
      </c>
    </row>
    <row r="4" spans="1:21" ht="15.75" thickBot="1" x14ac:dyDescent="0.3">
      <c r="A4" s="179"/>
      <c r="B4" s="17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77"/>
    </row>
    <row r="5" spans="1:21" x14ac:dyDescent="0.25">
      <c r="A5" s="19" t="str">
        <f>Start!A5</f>
        <v>Postbearbeitung Bestand</v>
      </c>
      <c r="B5" s="134">
        <f>'KW 3'!S5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5">
        <f>'KW 3'!S6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6">
        <f>'KW 3'!S7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5">
        <f>'KW 3'!S9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5">
        <f>'KW 3'!S10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5">
        <f>'KW 3'!S11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5">
        <f>'KW 3'!S12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5">
        <f>'KW 3'!S14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5">
        <f>'KW 3'!S15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5">
        <f>'KW 3'!S17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39">
        <f>'KW 3'!S20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5">
        <f>'KW 3'!S22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5">
        <f>'KW 3'!S23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5">
        <f>'KW 3'!S24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4">
        <f>'KW 3'!S26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5">
        <f>'KW 3'!S27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6">
        <f>'KW 3'!S28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39">
        <f>'KW 3'!S30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B32" s="144"/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B34" s="144"/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4">
        <f>'KW 3'!S35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D30">
    <cfRule type="expression" dxfId="1070" priority="19" stopIfTrue="1">
      <formula>AND(NOT(OR(ISBLANK($A5),$A5="Summe ")),$C$1="altes Jahr")</formula>
    </cfRule>
    <cfRule type="expression" dxfId="1069" priority="21" stopIfTrue="1">
      <formula>AND(NOT(OR(ISBLANK($A5),$A5="Summe ")),WEEKDAY($C$3,2)&gt;5)</formula>
    </cfRule>
  </conditionalFormatting>
  <conditionalFormatting sqref="E5:F30">
    <cfRule type="expression" dxfId="1068" priority="16" stopIfTrue="1">
      <formula>AND(NOT(OR(ISBLANK($A5),$A5="Summe ")),$E$1="altes Jahr")</formula>
    </cfRule>
    <cfRule type="expression" dxfId="1067" priority="18" stopIfTrue="1">
      <formula>AND(NOT(OR(ISBLANK($A5),$A5="Summe ")),WEEKDAY($E$3,2)&gt;5)</formula>
    </cfRule>
  </conditionalFormatting>
  <conditionalFormatting sqref="G5:H30">
    <cfRule type="expression" dxfId="1066" priority="13" stopIfTrue="1">
      <formula>AND(NOT(OR(ISBLANK($A5),$A5="Summe ")),$G$1="altes Jahr")</formula>
    </cfRule>
    <cfRule type="expression" dxfId="1065" priority="15" stopIfTrue="1">
      <formula>AND(NOT(OR(ISBLANK($A5),$A5="Summe ")),WEEKDAY($G$3,2)&gt;5)</formula>
    </cfRule>
  </conditionalFormatting>
  <conditionalFormatting sqref="I5:J30">
    <cfRule type="expression" dxfId="1064" priority="10" stopIfTrue="1">
      <formula>AND(NOT(OR(ISBLANK($A5),$A5="Summe ")),$I$1="altes Jahr")</formula>
    </cfRule>
    <cfRule type="expression" dxfId="1063" priority="12" stopIfTrue="1">
      <formula>AND(NOT(OR(ISBLANK($A5),$A5="Summe ")),WEEKDAY($I$3,2)&gt;5)</formula>
    </cfRule>
  </conditionalFormatting>
  <conditionalFormatting sqref="K5:L30">
    <cfRule type="expression" dxfId="1062" priority="7" stopIfTrue="1">
      <formula>AND(NOT(OR(ISBLANK($A5),$A5="Summe ")),$K$1="altes Jahr")</formula>
    </cfRule>
    <cfRule type="expression" dxfId="1061" priority="9" stopIfTrue="1">
      <formula>AND(NOT(OR(ISBLANK($A5),$A5="Summe ")),WEEKDAY($K$3,2)&gt;5)</formula>
    </cfRule>
  </conditionalFormatting>
  <conditionalFormatting sqref="M5:N30">
    <cfRule type="expression" dxfId="1060" priority="4" stopIfTrue="1">
      <formula>AND(NOT(OR(ISBLANK($A5),$A5="Summe ")),$M$1="altes Jahr")</formula>
    </cfRule>
    <cfRule type="expression" dxfId="1059" priority="6" stopIfTrue="1">
      <formula>AND(NOT(OR(ISBLANK($A5),$A5="Summe ")),WEEKDAY($M$3,2)&gt;5)</formula>
    </cfRule>
  </conditionalFormatting>
  <conditionalFormatting sqref="O5:P30">
    <cfRule type="expression" dxfId="1058" priority="1" stopIfTrue="1">
      <formula>AND(NOT(OR(ISBLANK($A5),$A5="Summe ")),$O$1="altes Jahr")</formula>
    </cfRule>
    <cfRule type="expression" dxfId="1057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C4A97917-F0EC-49E0-83B4-5FC31C80D6A6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E19AF58B-91D1-45B0-9A30-42155F58A972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AF414886-6288-44B6-86E0-EDE3238F7420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5547068D-C984-4F25-85FE-3703F962BCFE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8A62D72E-5ADC-4414-923A-BF3402FB9686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45F73AEC-FEE6-43CD-BFEE-67BAE947B6E7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0091D5B5-08AF-4F13-A043-F89F3D4E5D17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/>
  <dimension ref="A1:U37"/>
  <sheetViews>
    <sheetView zoomScale="90" zoomScaleNormal="90"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2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B1" s="12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B2" s="13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78" t="s">
        <v>20</v>
      </c>
      <c r="B3" s="178" t="s">
        <v>21</v>
      </c>
      <c r="C3" s="91">
        <f>'KW 1'!$C$3+28</f>
        <v>44228</v>
      </c>
      <c r="D3" s="92">
        <f>C3</f>
        <v>44228</v>
      </c>
      <c r="E3" s="91">
        <f>C3+1</f>
        <v>44229</v>
      </c>
      <c r="F3" s="92">
        <f>E3</f>
        <v>44229</v>
      </c>
      <c r="G3" s="91">
        <f>C3+2</f>
        <v>44230</v>
      </c>
      <c r="H3" s="92">
        <f>G3</f>
        <v>44230</v>
      </c>
      <c r="I3" s="91">
        <f>C3+3</f>
        <v>44231</v>
      </c>
      <c r="J3" s="92">
        <f>I3</f>
        <v>44231</v>
      </c>
      <c r="K3" s="91">
        <f>C3+4</f>
        <v>44232</v>
      </c>
      <c r="L3" s="92">
        <f>K3</f>
        <v>44232</v>
      </c>
      <c r="M3" s="91">
        <f>C3+5</f>
        <v>44233</v>
      </c>
      <c r="N3" s="92">
        <f>M3</f>
        <v>44233</v>
      </c>
      <c r="O3" s="91">
        <f>C3+6</f>
        <v>44234</v>
      </c>
      <c r="P3" s="92">
        <f>O3</f>
        <v>44234</v>
      </c>
      <c r="Q3" s="14" t="s">
        <v>0</v>
      </c>
      <c r="R3" s="15" t="s">
        <v>0</v>
      </c>
      <c r="S3" s="178" t="s">
        <v>1</v>
      </c>
      <c r="T3" s="178" t="s">
        <v>2</v>
      </c>
      <c r="U3" s="176" t="s">
        <v>4</v>
      </c>
    </row>
    <row r="4" spans="1:21" ht="15.75" thickBot="1" x14ac:dyDescent="0.3">
      <c r="A4" s="179"/>
      <c r="B4" s="17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77"/>
    </row>
    <row r="5" spans="1:21" x14ac:dyDescent="0.25">
      <c r="A5" s="19" t="str">
        <f>Start!A5</f>
        <v>Postbearbeitung Bestand</v>
      </c>
      <c r="B5" s="134">
        <f>'KW 4'!S5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5">
        <f>'KW 4'!S6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6">
        <f>'KW 4'!S7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5">
        <f>'KW 4'!S9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5">
        <f>'KW 4'!S10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5">
        <f>'KW 4'!S11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5">
        <f>'KW 4'!S12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5">
        <f>'KW 4'!S14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6.350000000000001" customHeight="1" thickBot="1" x14ac:dyDescent="0.3">
      <c r="A15" s="29" t="str">
        <f>Start!A15</f>
        <v>Einfachaufträge</v>
      </c>
      <c r="B15" s="135">
        <f>'KW 4'!S15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5">
        <f>'KW 4'!S17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39">
        <f>'KW 4'!S20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4">
        <f>'KW 4'!S22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5">
        <f>'KW 4'!S23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6">
        <f>'KW 4'!S24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4">
        <f>'KW 4'!S26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5">
        <f>'KW 4'!S27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6">
        <f>'KW 4'!S28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39">
        <f>'KW 4'!S30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B32" s="144"/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B34" s="144"/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4">
        <f>'KW 4'!S35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D30">
    <cfRule type="expression" dxfId="1049" priority="19" stopIfTrue="1">
      <formula>AND(NOT(OR(ISBLANK($A5),$A5="Summe ")),$C$1="altes Jahr")</formula>
    </cfRule>
    <cfRule type="expression" dxfId="1048" priority="21" stopIfTrue="1">
      <formula>AND(NOT(OR(ISBLANK($A5),$A5="Summe ")),WEEKDAY($C$3,2)&gt;5)</formula>
    </cfRule>
  </conditionalFormatting>
  <conditionalFormatting sqref="E5:F30">
    <cfRule type="expression" dxfId="1047" priority="16" stopIfTrue="1">
      <formula>AND(NOT(OR(ISBLANK($A5),$A5="Summe ")),$E$1="altes Jahr")</formula>
    </cfRule>
    <cfRule type="expression" dxfId="1046" priority="18" stopIfTrue="1">
      <formula>AND(NOT(OR(ISBLANK($A5),$A5="Summe ")),WEEKDAY($E$3,2)&gt;5)</formula>
    </cfRule>
  </conditionalFormatting>
  <conditionalFormatting sqref="G5:H30">
    <cfRule type="expression" dxfId="1045" priority="13" stopIfTrue="1">
      <formula>AND(NOT(OR(ISBLANK($A5),$A5="Summe ")),$G$1="altes Jahr")</formula>
    </cfRule>
    <cfRule type="expression" dxfId="1044" priority="15" stopIfTrue="1">
      <formula>AND(NOT(OR(ISBLANK($A5),$A5="Summe ")),WEEKDAY($G$3,2)&gt;5)</formula>
    </cfRule>
  </conditionalFormatting>
  <conditionalFormatting sqref="I5:J30">
    <cfRule type="expression" dxfId="1043" priority="10" stopIfTrue="1">
      <formula>AND(NOT(OR(ISBLANK($A5),$A5="Summe ")),$I$1="altes Jahr")</formula>
    </cfRule>
    <cfRule type="expression" dxfId="1042" priority="12" stopIfTrue="1">
      <formula>AND(NOT(OR(ISBLANK($A5),$A5="Summe ")),WEEKDAY($I$3,2)&gt;5)</formula>
    </cfRule>
  </conditionalFormatting>
  <conditionalFormatting sqref="K5:L30">
    <cfRule type="expression" dxfId="1041" priority="7" stopIfTrue="1">
      <formula>AND(NOT(OR(ISBLANK($A5),$A5="Summe ")),$K$1="altes Jahr")</formula>
    </cfRule>
    <cfRule type="expression" dxfId="1040" priority="9" stopIfTrue="1">
      <formula>AND(NOT(OR(ISBLANK($A5),$A5="Summe ")),WEEKDAY($K$3,2)&gt;5)</formula>
    </cfRule>
  </conditionalFormatting>
  <conditionalFormatting sqref="M5:N30">
    <cfRule type="expression" dxfId="1039" priority="4" stopIfTrue="1">
      <formula>AND(NOT(OR(ISBLANK($A5),$A5="Summe ")),$M$1="altes Jahr")</formula>
    </cfRule>
    <cfRule type="expression" dxfId="1038" priority="6" stopIfTrue="1">
      <formula>AND(NOT(OR(ISBLANK($A5),$A5="Summe ")),WEEKDAY($M$3,2)&gt;5)</formula>
    </cfRule>
  </conditionalFormatting>
  <conditionalFormatting sqref="O5:P30">
    <cfRule type="expression" dxfId="1037" priority="1" stopIfTrue="1">
      <formula>AND(NOT(OR(ISBLANK($A5),$A5="Summe ")),$O$1="altes Jahr")</formula>
    </cfRule>
    <cfRule type="expression" dxfId="1036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1E683F54-63DE-4594-909C-70DD2EA46DC2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19673DC4-B454-4886-8BEA-BFAAD02F1D36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8C7B1B4F-5364-493C-91A6-04CCDB4452EA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263473FA-3673-4905-9045-1353D182FB9D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E623A940-A446-48EB-B630-E7C08B3BAB32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81111B53-7F49-4361-856C-86E6F5553330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F263C927-D615-4094-B80B-ACD8B7B2A883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/>
  <dimension ref="A1:U37"/>
  <sheetViews>
    <sheetView zoomScale="99" zoomScaleNormal="99"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2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B1" s="12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B2" s="13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78" t="s">
        <v>20</v>
      </c>
      <c r="B3" s="178" t="s">
        <v>21</v>
      </c>
      <c r="C3" s="91">
        <f>'KW 1'!$C$3+35</f>
        <v>44235</v>
      </c>
      <c r="D3" s="92">
        <f>C3</f>
        <v>44235</v>
      </c>
      <c r="E3" s="91">
        <f>C3+1</f>
        <v>44236</v>
      </c>
      <c r="F3" s="92">
        <f>E3</f>
        <v>44236</v>
      </c>
      <c r="G3" s="91">
        <f>C3+2</f>
        <v>44237</v>
      </c>
      <c r="H3" s="92">
        <f>G3</f>
        <v>44237</v>
      </c>
      <c r="I3" s="91">
        <f>C3+3</f>
        <v>44238</v>
      </c>
      <c r="J3" s="92">
        <f>I3</f>
        <v>44238</v>
      </c>
      <c r="K3" s="91">
        <f>C3+4</f>
        <v>44239</v>
      </c>
      <c r="L3" s="92">
        <f>K3</f>
        <v>44239</v>
      </c>
      <c r="M3" s="91">
        <f>C3+5</f>
        <v>44240</v>
      </c>
      <c r="N3" s="92">
        <f>M3</f>
        <v>44240</v>
      </c>
      <c r="O3" s="91">
        <f>C3+6</f>
        <v>44241</v>
      </c>
      <c r="P3" s="92">
        <f>O3</f>
        <v>44241</v>
      </c>
      <c r="Q3" s="14" t="s">
        <v>0</v>
      </c>
      <c r="R3" s="15" t="s">
        <v>0</v>
      </c>
      <c r="S3" s="178" t="s">
        <v>1</v>
      </c>
      <c r="T3" s="178" t="s">
        <v>2</v>
      </c>
      <c r="U3" s="176" t="s">
        <v>4</v>
      </c>
    </row>
    <row r="4" spans="1:21" ht="15.75" thickBot="1" x14ac:dyDescent="0.3">
      <c r="A4" s="179"/>
      <c r="B4" s="17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9"/>
      <c r="T4" s="179"/>
      <c r="U4" s="177"/>
    </row>
    <row r="5" spans="1:21" x14ac:dyDescent="0.25">
      <c r="A5" s="19" t="str">
        <f>Start!A5</f>
        <v>Postbearbeitung Bestand</v>
      </c>
      <c r="B5" s="134">
        <f>'KW 5'!S5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5">
        <f>'KW 5'!S6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6">
        <f>'KW 5'!S7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5">
        <f>'KW 5'!S9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5">
        <f>'KW 5'!S10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5">
        <f>'KW 5'!S11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5">
        <f>'KW 5'!S12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5">
        <f>'KW 5'!S14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5">
        <f>'KW 5'!S15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5">
        <f>'KW 5'!S17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39">
        <f>'KW 5'!S20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5">
        <f>'KW 5'!S22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5">
        <f>'KW 5'!S23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5">
        <f>'KW 5'!S24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4">
        <f>'KW 5'!S26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5">
        <f>'KW 5'!S27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6">
        <f>'KW 5'!S28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35">
        <f>'KW 5'!S30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B32" s="144"/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102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B34" s="144"/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4">
        <f>'KW 5'!S35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>
      <c r="L37" s="1"/>
    </row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D30">
    <cfRule type="expression" dxfId="1028" priority="19" stopIfTrue="1">
      <formula>AND(NOT(OR(ISBLANK($A5),$A5="Summe ")),$C$1="altes Jahr")</formula>
    </cfRule>
    <cfRule type="expression" dxfId="1027" priority="21" stopIfTrue="1">
      <formula>AND(NOT(OR(ISBLANK($A5),$A5="Summe ")),WEEKDAY($C$3,2)&gt;5)</formula>
    </cfRule>
  </conditionalFormatting>
  <conditionalFormatting sqref="E5:F30">
    <cfRule type="expression" dxfId="1026" priority="16" stopIfTrue="1">
      <formula>AND(NOT(OR(ISBLANK($A5),$A5="Summe ")),$E$1="altes Jahr")</formula>
    </cfRule>
    <cfRule type="expression" dxfId="1025" priority="18" stopIfTrue="1">
      <formula>AND(NOT(OR(ISBLANK($A5),$A5="Summe ")),WEEKDAY($E$3,2)&gt;5)</formula>
    </cfRule>
  </conditionalFormatting>
  <conditionalFormatting sqref="G5:H30">
    <cfRule type="expression" dxfId="1024" priority="13" stopIfTrue="1">
      <formula>AND(NOT(OR(ISBLANK($A5),$A5="Summe ")),$G$1="altes Jahr")</formula>
    </cfRule>
    <cfRule type="expression" dxfId="1023" priority="15" stopIfTrue="1">
      <formula>AND(NOT(OR(ISBLANK($A5),$A5="Summe ")),WEEKDAY($G$3,2)&gt;5)</formula>
    </cfRule>
  </conditionalFormatting>
  <conditionalFormatting sqref="I5:J30">
    <cfRule type="expression" dxfId="1022" priority="10" stopIfTrue="1">
      <formula>AND(NOT(OR(ISBLANK($A5),$A5="Summe ")),$I$1="altes Jahr")</formula>
    </cfRule>
    <cfRule type="expression" dxfId="1021" priority="12" stopIfTrue="1">
      <formula>AND(NOT(OR(ISBLANK($A5),$A5="Summe ")),WEEKDAY($I$3,2)&gt;5)</formula>
    </cfRule>
  </conditionalFormatting>
  <conditionalFormatting sqref="K5:L30">
    <cfRule type="expression" dxfId="1020" priority="7" stopIfTrue="1">
      <formula>AND(NOT(OR(ISBLANK($A5),$A5="Summe ")),$K$1="altes Jahr")</formula>
    </cfRule>
    <cfRule type="expression" dxfId="1019" priority="9" stopIfTrue="1">
      <formula>AND(NOT(OR(ISBLANK($A5),$A5="Summe ")),WEEKDAY($K$3,2)&gt;5)</formula>
    </cfRule>
  </conditionalFormatting>
  <conditionalFormatting sqref="M5:N30">
    <cfRule type="expression" dxfId="1018" priority="4" stopIfTrue="1">
      <formula>AND(NOT(OR(ISBLANK($A5),$A5="Summe ")),$M$1="altes Jahr")</formula>
    </cfRule>
    <cfRule type="expression" dxfId="1017" priority="6" stopIfTrue="1">
      <formula>AND(NOT(OR(ISBLANK($A5),$A5="Summe ")),WEEKDAY($M$3,2)&gt;5)</formula>
    </cfRule>
  </conditionalFormatting>
  <conditionalFormatting sqref="O5:P30">
    <cfRule type="expression" dxfId="1016" priority="1" stopIfTrue="1">
      <formula>AND(NOT(OR(ISBLANK($A5),$A5="Summe ")),$O$1="altes Jahr")</formula>
    </cfRule>
    <cfRule type="expression" dxfId="1015" priority="3" stopIfTrue="1">
      <formula>AND(NOT(OR(ISBLANK($A5),$A5="Summe ")),WEEKDAY($O$3,2)&gt;5)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31D444B9-C59E-4917-9F41-33F85455ABF5}">
            <xm:f>AND(NOT(OR(ISBLANK($A5),$A5="Summe ")),ISNUMBER(VLOOKUP($C$3,Start!$F$2:$F$23,1,0)))</xm:f>
            <x14:dxf>
              <fill>
                <patternFill>
                  <bgColor rgb="FFED7D31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17" stopIfTrue="1" id="{A06B33D7-936C-474C-8417-67F9360B6C73}">
            <xm:f>AND(NOT(OR(ISBLANK($A5),$A5="Summe ")),ISNUMBER(VLOOKUP($E$3,Start!$F$2:$F$23,1,0)))</xm:f>
            <x14:dxf>
              <fill>
                <patternFill>
                  <bgColor rgb="FFED7D31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14" stopIfTrue="1" id="{B36E88C5-DAB7-4C0D-B8B0-3DA4FDC0BF18}">
            <xm:f>AND(NOT(OR(ISBLANK($A5),$A5="Summe ")),ISNUMBER(VLOOKUP($G$3,Start!$F$2:$F$23,1,0)))</xm:f>
            <x14:dxf>
              <fill>
                <patternFill>
                  <bgColor rgb="FFED7D31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11" stopIfTrue="1" id="{7AF5C1D4-A755-45FF-9427-5E6C7449840D}">
            <xm:f>AND(NOT(OR(ISBLANK($A5),$A5="Summe ")),ISNUMBER(VLOOKUP($I$3,Start!$F$2:$F$23,1,0)))</xm:f>
            <x14:dxf>
              <fill>
                <patternFill>
                  <bgColor rgb="FFED7D31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8" stopIfTrue="1" id="{4CA08046-FAF0-491A-93A6-DC323B76030F}">
            <xm:f>AND(NOT(OR(ISBLANK($A5),$A5="Summe ")),ISNUMBER(VLOOKUP($K$3,Start!$F$2:$F$23,1,0)))</xm:f>
            <x14:dxf>
              <fill>
                <patternFill>
                  <bgColor rgb="FFED7D31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5" stopIfTrue="1" id="{37B6FE2B-D3A3-4781-B10C-124545E3DA07}">
            <xm:f>AND(NOT(OR(ISBLANK($A5),$A5="Summe ")),ISNUMBER(VLOOKUP($M$3,Start!$F$2:$F$23,1,0)))</xm:f>
            <x14:dxf>
              <fill>
                <patternFill>
                  <bgColor rgb="FFED7D31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2" stopIfTrue="1" id="{395F206D-1ECD-4794-9E2B-B09A8A937231}">
            <xm:f>AND(NOT(OR(ISBLANK($A5),$A5="Summe ")),ISNUMBER(VLOOKUP($O$3,Start!$F$2:$F$23,1,0)))</xm:f>
            <x14:dxf>
              <fill>
                <patternFill>
                  <bgColor rgb="FFED7D31"/>
                </patternFill>
              </fill>
            </x14:dxf>
          </x14:cfRule>
          <xm:sqref>O5:P30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458C713CA2CD4B9BECB7B75B25707B" ma:contentTypeVersion="0" ma:contentTypeDescription="Ein neues Dokument erstellen." ma:contentTypeScope="" ma:versionID="6b7505f0ba930ffba7befcc1681ec40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6c4a6dd5ef775a5269b08f7de37f93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7DAC64-9E59-41E3-8C3F-3C29CB79AE4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FE5EE82-5134-4497-8636-CAC3D8AA1E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A1FF232-8572-4FDC-B733-B35987A66A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57</vt:i4>
      </vt:variant>
    </vt:vector>
  </HeadingPairs>
  <TitlesOfParts>
    <vt:vector size="57" baseType="lpstr">
      <vt:lpstr>Start</vt:lpstr>
      <vt:lpstr>Statistik</vt:lpstr>
      <vt:lpstr>alt KW 53</vt:lpstr>
      <vt:lpstr>KW 1</vt:lpstr>
      <vt:lpstr>KW 2</vt:lpstr>
      <vt:lpstr>KW 3</vt:lpstr>
      <vt:lpstr>KW 4</vt:lpstr>
      <vt:lpstr>KW 5</vt:lpstr>
      <vt:lpstr>KW 6</vt:lpstr>
      <vt:lpstr>KW 7</vt:lpstr>
      <vt:lpstr>KW 8</vt:lpstr>
      <vt:lpstr>KW 9</vt:lpstr>
      <vt:lpstr>KW 10</vt:lpstr>
      <vt:lpstr>KW 11</vt:lpstr>
      <vt:lpstr>KW 12</vt:lpstr>
      <vt:lpstr>KW 13</vt:lpstr>
      <vt:lpstr>KW 14</vt:lpstr>
      <vt:lpstr>KW 15</vt:lpstr>
      <vt:lpstr>KW 16</vt:lpstr>
      <vt:lpstr>KW 17</vt:lpstr>
      <vt:lpstr>KW 18</vt:lpstr>
      <vt:lpstr>KW 19</vt:lpstr>
      <vt:lpstr>KW 20</vt:lpstr>
      <vt:lpstr>KW 21</vt:lpstr>
      <vt:lpstr>KW 22</vt:lpstr>
      <vt:lpstr>KW 23</vt:lpstr>
      <vt:lpstr>KW 24</vt:lpstr>
      <vt:lpstr>KW 25</vt:lpstr>
      <vt:lpstr>KW 26</vt:lpstr>
      <vt:lpstr>KW 27</vt:lpstr>
      <vt:lpstr>KW 28</vt:lpstr>
      <vt:lpstr>KW 29</vt:lpstr>
      <vt:lpstr>KW 30</vt:lpstr>
      <vt:lpstr>KW 31</vt:lpstr>
      <vt:lpstr>KW 32</vt:lpstr>
      <vt:lpstr>KW 33</vt:lpstr>
      <vt:lpstr>KW 34</vt:lpstr>
      <vt:lpstr>KW 35</vt:lpstr>
      <vt:lpstr>KW 36</vt:lpstr>
      <vt:lpstr>KW 37</vt:lpstr>
      <vt:lpstr>KW 38</vt:lpstr>
      <vt:lpstr>KW 39</vt:lpstr>
      <vt:lpstr>KW 40</vt:lpstr>
      <vt:lpstr>KW 41</vt:lpstr>
      <vt:lpstr>KW 42</vt:lpstr>
      <vt:lpstr>KW 43</vt:lpstr>
      <vt:lpstr>KW 44</vt:lpstr>
      <vt:lpstr>KW 45</vt:lpstr>
      <vt:lpstr>KW 46</vt:lpstr>
      <vt:lpstr>KW 47</vt:lpstr>
      <vt:lpstr>KW 48</vt:lpstr>
      <vt:lpstr>KW 49</vt:lpstr>
      <vt:lpstr>KW 50</vt:lpstr>
      <vt:lpstr>KW 51</vt:lpstr>
      <vt:lpstr>KW 52</vt:lpstr>
      <vt:lpstr>KW 53.1</vt:lpstr>
      <vt:lpstr>KW 54</vt:lpstr>
    </vt:vector>
  </TitlesOfParts>
  <Company>Produban 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Christian</dc:creator>
  <cp:lastModifiedBy>User</cp:lastModifiedBy>
  <cp:lastPrinted>2021-01-06T15:48:25Z</cp:lastPrinted>
  <dcterms:created xsi:type="dcterms:W3CDTF">2020-12-14T08:29:20Z</dcterms:created>
  <dcterms:modified xsi:type="dcterms:W3CDTF">2021-03-19T13:40:48Z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41c091-3cbc-4dba-8b59-ce62f19500db_Enabled">
    <vt:lpwstr>True</vt:lpwstr>
  </property>
  <property fmtid="{D5CDD505-2E9C-101B-9397-08002B2CF9AE}" pid="3" name="MSIP_Label_3c41c091-3cbc-4dba-8b59-ce62f19500db_SiteId">
    <vt:lpwstr>35595a02-4d6d-44ac-99e1-f9ab4cd872db</vt:lpwstr>
  </property>
  <property fmtid="{D5CDD505-2E9C-101B-9397-08002B2CF9AE}" pid="4" name="MSIP_Label_3c41c091-3cbc-4dba-8b59-ce62f19500db_Owner">
    <vt:lpwstr>n92993@srtde.santander.de</vt:lpwstr>
  </property>
  <property fmtid="{D5CDD505-2E9C-101B-9397-08002B2CF9AE}" pid="5" name="MSIP_Label_3c41c091-3cbc-4dba-8b59-ce62f19500db_SetDate">
    <vt:lpwstr>2021-01-01T14:28:56.0070773Z</vt:lpwstr>
  </property>
  <property fmtid="{D5CDD505-2E9C-101B-9397-08002B2CF9AE}" pid="6" name="MSIP_Label_3c41c091-3cbc-4dba-8b59-ce62f19500db_Name">
    <vt:lpwstr>Confidential</vt:lpwstr>
  </property>
  <property fmtid="{D5CDD505-2E9C-101B-9397-08002B2CF9AE}" pid="7" name="MSIP_Label_3c41c091-3cbc-4dba-8b59-ce62f19500db_Application">
    <vt:lpwstr>Microsoft Azure Information Protection</vt:lpwstr>
  </property>
  <property fmtid="{D5CDD505-2E9C-101B-9397-08002B2CF9AE}" pid="8" name="MSIP_Label_3c41c091-3cbc-4dba-8b59-ce62f19500db_ActionId">
    <vt:lpwstr>7ff9a8ce-593d-4c42-a4a5-90792888a0f1</vt:lpwstr>
  </property>
  <property fmtid="{D5CDD505-2E9C-101B-9397-08002B2CF9AE}" pid="9" name="MSIP_Label_3c41c091-3cbc-4dba-8b59-ce62f19500db_Extended_MSFT_Method">
    <vt:lpwstr>Manual</vt:lpwstr>
  </property>
  <property fmtid="{D5CDD505-2E9C-101B-9397-08002B2CF9AE}" pid="10" name="Sensitivity">
    <vt:lpwstr>Confidential</vt:lpwstr>
  </property>
  <property fmtid="{D5CDD505-2E9C-101B-9397-08002B2CF9AE}" pid="11" name="ContentTypeId">
    <vt:lpwstr>0x01010012458C713CA2CD4B9BECB7B75B25707B</vt:lpwstr>
  </property>
</Properties>
</file>