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http://mysite.sandefrp.santanderde.corp/personal/n92993/Personal Documents/Hr Schmidt to do/"/>
    </mc:Choice>
  </mc:AlternateContent>
  <bookViews>
    <workbookView xWindow="0" yWindow="0" windowWidth="19200" windowHeight="7308" activeTab="3"/>
  </bookViews>
  <sheets>
    <sheet name="Start" sheetId="2" r:id="rId1"/>
    <sheet name="Statistik" sheetId="5" r:id="rId2"/>
    <sheet name="alt KW 53" sheetId="1" r:id="rId3"/>
    <sheet name="KW 1" sheetId="3" r:id="rId4"/>
    <sheet name="KW 2" sheetId="4" r:id="rId5"/>
    <sheet name="KW 3" sheetId="6" r:id="rId6"/>
    <sheet name="KW 4" sheetId="7" r:id="rId7"/>
    <sheet name="KW 5" sheetId="8" r:id="rId8"/>
    <sheet name="KW 6" sheetId="9" r:id="rId9"/>
    <sheet name="KW 7" sheetId="10" r:id="rId10"/>
    <sheet name="KW 8" sheetId="11" r:id="rId11"/>
    <sheet name="KW 9" sheetId="12" r:id="rId12"/>
    <sheet name="KW 10" sheetId="13" r:id="rId13"/>
    <sheet name="KW 11" sheetId="14" r:id="rId14"/>
    <sheet name="KW 12" sheetId="15" r:id="rId15"/>
    <sheet name="KW 13" sheetId="16" r:id="rId16"/>
    <sheet name="KW 14" sheetId="17" r:id="rId17"/>
    <sheet name="KW 15" sheetId="18" r:id="rId18"/>
    <sheet name="KW 16" sheetId="19" r:id="rId19"/>
    <sheet name="KW 17" sheetId="20" r:id="rId20"/>
    <sheet name="KW 18" sheetId="21" r:id="rId21"/>
    <sheet name="KW 19" sheetId="22" r:id="rId22"/>
    <sheet name="KW 20" sheetId="23" r:id="rId23"/>
    <sheet name="KW 21" sheetId="24" r:id="rId24"/>
    <sheet name="KW 22" sheetId="25" r:id="rId25"/>
    <sheet name="KW 23" sheetId="26" r:id="rId26"/>
    <sheet name="KW 24" sheetId="27" r:id="rId27"/>
    <sheet name="KW 25" sheetId="28" r:id="rId28"/>
    <sheet name="KW 26" sheetId="29" r:id="rId29"/>
    <sheet name="KW 27" sheetId="30" r:id="rId30"/>
    <sheet name="KW 28" sheetId="31" r:id="rId31"/>
    <sheet name="KW 29" sheetId="32" r:id="rId32"/>
    <sheet name="KW 30" sheetId="33" r:id="rId33"/>
    <sheet name="KW 31" sheetId="34" r:id="rId34"/>
    <sheet name="KW 32" sheetId="35" r:id="rId35"/>
    <sheet name="KW 33" sheetId="36" r:id="rId36"/>
    <sheet name="KW 34" sheetId="37" r:id="rId37"/>
    <sheet name="KW 35" sheetId="38" r:id="rId38"/>
    <sheet name="KW 36" sheetId="39" r:id="rId39"/>
    <sheet name="KW 37" sheetId="40" r:id="rId40"/>
    <sheet name="KW 38" sheetId="41" r:id="rId41"/>
    <sheet name="KW 39" sheetId="42" r:id="rId42"/>
    <sheet name="KW 40" sheetId="43" r:id="rId43"/>
    <sheet name="KW 41" sheetId="44" r:id="rId44"/>
    <sheet name="KW 42" sheetId="45" r:id="rId45"/>
    <sheet name="KW 43" sheetId="46" r:id="rId46"/>
    <sheet name="KW 44" sheetId="47" r:id="rId47"/>
    <sheet name="KW 45" sheetId="48" r:id="rId48"/>
    <sheet name="KW 46" sheetId="49" r:id="rId49"/>
    <sheet name="KW 47" sheetId="50" r:id="rId50"/>
    <sheet name="KW 48" sheetId="51" r:id="rId51"/>
    <sheet name="KW 49" sheetId="52" r:id="rId52"/>
    <sheet name="KW 50" sheetId="53" r:id="rId53"/>
    <sheet name="KW 51" sheetId="54" r:id="rId54"/>
    <sheet name="KW 52" sheetId="55" r:id="rId55"/>
    <sheet name="KW 53.1" sheetId="56" r:id="rId56"/>
    <sheet name="KW 54" sheetId="57" r:id="rId5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B3" i="2" s="1"/>
  <c r="I2" i="2" l="1"/>
  <c r="J2" i="2" s="1"/>
  <c r="O3" i="1" l="1"/>
  <c r="C3" i="3"/>
  <c r="T136" i="5"/>
  <c r="T135" i="5"/>
  <c r="T134" i="5"/>
  <c r="T133" i="5"/>
  <c r="T132" i="5"/>
  <c r="T130" i="5"/>
  <c r="T129" i="5"/>
  <c r="T128" i="5"/>
  <c r="T127" i="5"/>
  <c r="T126" i="5"/>
  <c r="T125" i="5"/>
  <c r="T124" i="5"/>
  <c r="T123" i="5"/>
  <c r="T122" i="5"/>
  <c r="T121" i="5"/>
  <c r="T120" i="5"/>
  <c r="T119" i="5"/>
  <c r="T118" i="5"/>
  <c r="T117" i="5"/>
  <c r="T116" i="5"/>
  <c r="T115" i="5"/>
  <c r="T114" i="5"/>
  <c r="T113" i="5"/>
  <c r="T112" i="5"/>
  <c r="T111" i="5"/>
  <c r="T110" i="5"/>
  <c r="T109" i="5"/>
  <c r="T108" i="5"/>
  <c r="L135" i="5"/>
  <c r="L134" i="5"/>
  <c r="L133" i="5"/>
  <c r="L132" i="5"/>
  <c r="L131" i="5"/>
  <c r="L130" i="5"/>
  <c r="L129" i="5"/>
  <c r="L128" i="5"/>
  <c r="L127" i="5"/>
  <c r="L126" i="5"/>
  <c r="L125" i="5"/>
  <c r="L124" i="5"/>
  <c r="L123" i="5"/>
  <c r="L122" i="5"/>
  <c r="L121" i="5"/>
  <c r="L120" i="5"/>
  <c r="L119" i="5"/>
  <c r="L118" i="5"/>
  <c r="L117" i="5"/>
  <c r="L116" i="5"/>
  <c r="L115" i="5"/>
  <c r="L114" i="5"/>
  <c r="L113" i="5"/>
  <c r="L112" i="5"/>
  <c r="L111" i="5"/>
  <c r="L110" i="5"/>
  <c r="L10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C3" i="40" l="1"/>
  <c r="C3" i="38"/>
  <c r="C3" i="28"/>
  <c r="C3" i="25"/>
  <c r="C3" i="56"/>
  <c r="C3" i="50"/>
  <c r="C3" i="43"/>
  <c r="C3" i="39"/>
  <c r="C3" i="37"/>
  <c r="C3" i="35"/>
  <c r="C3" i="31"/>
  <c r="C3" i="23"/>
  <c r="C3" i="46"/>
  <c r="C3" i="26"/>
  <c r="C3" i="54"/>
  <c r="C3" i="48"/>
  <c r="C3" i="41"/>
  <c r="C3" i="29"/>
  <c r="C3" i="33"/>
  <c r="C3" i="57"/>
  <c r="C3" i="51"/>
  <c r="C3" i="44"/>
  <c r="C3" i="32"/>
  <c r="C3" i="24"/>
  <c r="C3" i="47"/>
  <c r="C3" i="34"/>
  <c r="C3" i="27"/>
  <c r="C3" i="19"/>
  <c r="C3" i="55"/>
  <c r="C3" i="53"/>
  <c r="C3" i="49"/>
  <c r="C3" i="42"/>
  <c r="C3" i="36"/>
  <c r="C3" i="30"/>
  <c r="C3" i="22"/>
  <c r="C3" i="20"/>
  <c r="C3" i="45"/>
  <c r="C3" i="21"/>
  <c r="C3" i="18"/>
  <c r="C3" i="17"/>
  <c r="C3" i="14"/>
  <c r="C3" i="12"/>
  <c r="C3" i="16"/>
  <c r="C3" i="13"/>
  <c r="C3" i="10"/>
  <c r="C3" i="15"/>
  <c r="C3" i="11"/>
  <c r="C3" i="9"/>
  <c r="C3" i="8"/>
  <c r="C3" i="7"/>
  <c r="C2" i="3"/>
  <c r="C1" i="3" s="1"/>
  <c r="O2" i="1"/>
  <c r="O1" i="1" s="1"/>
  <c r="M3" i="1"/>
  <c r="C3" i="6"/>
  <c r="C3" i="4"/>
  <c r="T102" i="5"/>
  <c r="T101" i="5"/>
  <c r="T100" i="5"/>
  <c r="T99" i="5"/>
  <c r="T98" i="5"/>
  <c r="T97" i="5"/>
  <c r="T96" i="5"/>
  <c r="T95" i="5"/>
  <c r="T94" i="5"/>
  <c r="T93" i="5"/>
  <c r="T92" i="5"/>
  <c r="T91" i="5"/>
  <c r="T90" i="5"/>
  <c r="T89" i="5"/>
  <c r="T88" i="5"/>
  <c r="T87" i="5"/>
  <c r="T86" i="5"/>
  <c r="T85" i="5"/>
  <c r="T84" i="5"/>
  <c r="T83" i="5"/>
  <c r="T82" i="5"/>
  <c r="T81" i="5"/>
  <c r="T80" i="5"/>
  <c r="T79" i="5"/>
  <c r="T78" i="5"/>
  <c r="T77" i="5"/>
  <c r="T76" i="5"/>
  <c r="T75" i="5"/>
  <c r="T74" i="5"/>
  <c r="T73" i="5"/>
  <c r="L101" i="5"/>
  <c r="L100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D3" i="24" l="1"/>
  <c r="C2" i="24"/>
  <c r="C1" i="24" s="1"/>
  <c r="D3" i="32"/>
  <c r="C2" i="32"/>
  <c r="C1" i="32" s="1"/>
  <c r="C2" i="21"/>
  <c r="C1" i="21" s="1"/>
  <c r="C2" i="53"/>
  <c r="C1" i="53" s="1"/>
  <c r="E3" i="53"/>
  <c r="D3" i="53"/>
  <c r="D3" i="44"/>
  <c r="C2" i="44"/>
  <c r="C1" i="44" s="1"/>
  <c r="D3" i="26"/>
  <c r="C2" i="26"/>
  <c r="C1" i="26" s="1"/>
  <c r="D3" i="50"/>
  <c r="C2" i="50"/>
  <c r="C1" i="50" s="1"/>
  <c r="D3" i="39"/>
  <c r="C2" i="39"/>
  <c r="C1" i="39" s="1"/>
  <c r="D3" i="49"/>
  <c r="C2" i="49"/>
  <c r="C1" i="49" s="1"/>
  <c r="D3" i="45"/>
  <c r="C2" i="45"/>
  <c r="C1" i="45" s="1"/>
  <c r="D3" i="55"/>
  <c r="C2" i="55"/>
  <c r="C1" i="55" s="1"/>
  <c r="D3" i="51"/>
  <c r="C2" i="51"/>
  <c r="C1" i="51" s="1"/>
  <c r="D3" i="46"/>
  <c r="C2" i="46"/>
  <c r="C1" i="46" s="1"/>
  <c r="D3" i="56"/>
  <c r="C2" i="56"/>
  <c r="C1" i="56" s="1"/>
  <c r="C2" i="20"/>
  <c r="C1" i="20" s="1"/>
  <c r="C2" i="19"/>
  <c r="C1" i="19" s="1"/>
  <c r="D3" i="57"/>
  <c r="C2" i="57"/>
  <c r="C1" i="57" s="1"/>
  <c r="D3" i="23"/>
  <c r="C2" i="23"/>
  <c r="C1" i="23" s="1"/>
  <c r="D3" i="25"/>
  <c r="C2" i="25"/>
  <c r="C1" i="25" s="1"/>
  <c r="D3" i="48"/>
  <c r="C2" i="48"/>
  <c r="C1" i="48" s="1"/>
  <c r="D3" i="22"/>
  <c r="C2" i="22"/>
  <c r="C1" i="22" s="1"/>
  <c r="D3" i="27"/>
  <c r="C2" i="27"/>
  <c r="C1" i="27" s="1"/>
  <c r="D3" i="33"/>
  <c r="C2" i="33"/>
  <c r="C1" i="33" s="1"/>
  <c r="D3" i="31"/>
  <c r="C2" i="31"/>
  <c r="C1" i="31" s="1"/>
  <c r="D3" i="28"/>
  <c r="C2" i="28"/>
  <c r="C1" i="28" s="1"/>
  <c r="D3" i="54"/>
  <c r="C2" i="54"/>
  <c r="C1" i="54" s="1"/>
  <c r="D3" i="30"/>
  <c r="C2" i="30"/>
  <c r="C1" i="30" s="1"/>
  <c r="D3" i="34"/>
  <c r="E3" i="34"/>
  <c r="G3" i="34" s="1"/>
  <c r="I3" i="34" s="1"/>
  <c r="K3" i="34" s="1"/>
  <c r="M3" i="34" s="1"/>
  <c r="O3" i="34" s="1"/>
  <c r="C2" i="34"/>
  <c r="C1" i="34" s="1"/>
  <c r="D3" i="29"/>
  <c r="C2" i="29"/>
  <c r="C1" i="29" s="1"/>
  <c r="C2" i="35"/>
  <c r="C1" i="35" s="1"/>
  <c r="E3" i="35"/>
  <c r="D3" i="35"/>
  <c r="D3" i="38"/>
  <c r="C2" i="38"/>
  <c r="C1" i="38" s="1"/>
  <c r="D3" i="42"/>
  <c r="C2" i="42"/>
  <c r="C1" i="42" s="1"/>
  <c r="D3" i="43"/>
  <c r="C2" i="43"/>
  <c r="C1" i="43" s="1"/>
  <c r="D3" i="36"/>
  <c r="C2" i="36"/>
  <c r="C1" i="36" s="1"/>
  <c r="D3" i="47"/>
  <c r="C2" i="47"/>
  <c r="C1" i="47" s="1"/>
  <c r="D3" i="41"/>
  <c r="C2" i="41"/>
  <c r="C1" i="41" s="1"/>
  <c r="D3" i="37"/>
  <c r="C2" i="37"/>
  <c r="C1" i="37" s="1"/>
  <c r="D3" i="40"/>
  <c r="C2" i="40"/>
  <c r="C1" i="40" s="1"/>
  <c r="C2" i="10"/>
  <c r="C1" i="10" s="1"/>
  <c r="C2" i="6"/>
  <c r="C1" i="6" s="1"/>
  <c r="C2" i="15"/>
  <c r="C1" i="15" s="1"/>
  <c r="C2" i="16"/>
  <c r="C1" i="16" s="1"/>
  <c r="C2" i="7"/>
  <c r="C1" i="7" s="1"/>
  <c r="C2" i="12"/>
  <c r="C1" i="12" s="1"/>
  <c r="C2" i="8"/>
  <c r="C1" i="8" s="1"/>
  <c r="C2" i="14"/>
  <c r="C1" i="14" s="1"/>
  <c r="C2" i="13"/>
  <c r="C1" i="13" s="1"/>
  <c r="C2" i="9"/>
  <c r="C1" i="9" s="1"/>
  <c r="C2" i="17"/>
  <c r="C1" i="17" s="1"/>
  <c r="C2" i="4"/>
  <c r="C1" i="4" s="1"/>
  <c r="C2" i="11"/>
  <c r="C1" i="11" s="1"/>
  <c r="C2" i="18"/>
  <c r="C1" i="18" s="1"/>
  <c r="M2" i="1"/>
  <c r="M1" i="1" s="1"/>
  <c r="K3" i="1"/>
  <c r="R36" i="57"/>
  <c r="Q36" i="57"/>
  <c r="A35" i="57"/>
  <c r="R36" i="56"/>
  <c r="Q36" i="56"/>
  <c r="A35" i="56"/>
  <c r="R36" i="55"/>
  <c r="Q36" i="55"/>
  <c r="A35" i="55"/>
  <c r="R36" i="54"/>
  <c r="Q36" i="54"/>
  <c r="A35" i="54"/>
  <c r="R36" i="53"/>
  <c r="Q36" i="53"/>
  <c r="A35" i="53"/>
  <c r="R36" i="52"/>
  <c r="Q36" i="52"/>
  <c r="A35" i="52"/>
  <c r="R36" i="51"/>
  <c r="Q36" i="51"/>
  <c r="A35" i="51"/>
  <c r="R36" i="50"/>
  <c r="Q36" i="50"/>
  <c r="A35" i="50"/>
  <c r="R36" i="49"/>
  <c r="Q36" i="49"/>
  <c r="A35" i="49"/>
  <c r="R36" i="48"/>
  <c r="Q36" i="48"/>
  <c r="A35" i="48"/>
  <c r="R36" i="47"/>
  <c r="Q36" i="47"/>
  <c r="A35" i="47"/>
  <c r="R36" i="46"/>
  <c r="Q36" i="46"/>
  <c r="A35" i="46"/>
  <c r="R36" i="45"/>
  <c r="Q36" i="45"/>
  <c r="A35" i="45"/>
  <c r="R36" i="44"/>
  <c r="Q36" i="44"/>
  <c r="A35" i="44"/>
  <c r="R36" i="43"/>
  <c r="Q36" i="43"/>
  <c r="A35" i="43"/>
  <c r="R36" i="42"/>
  <c r="Q36" i="42"/>
  <c r="A35" i="42"/>
  <c r="R36" i="41"/>
  <c r="Q36" i="41"/>
  <c r="A35" i="41"/>
  <c r="R36" i="40"/>
  <c r="Q36" i="40"/>
  <c r="A35" i="40"/>
  <c r="R36" i="39"/>
  <c r="Q36" i="39"/>
  <c r="A35" i="39"/>
  <c r="R36" i="38"/>
  <c r="Q36" i="38"/>
  <c r="A35" i="38"/>
  <c r="R36" i="37"/>
  <c r="Q36" i="37"/>
  <c r="A35" i="37"/>
  <c r="R36" i="36"/>
  <c r="A35" i="36"/>
  <c r="R36" i="35"/>
  <c r="Q36" i="35"/>
  <c r="A35" i="35"/>
  <c r="R36" i="34"/>
  <c r="Q36" i="34"/>
  <c r="A35" i="34"/>
  <c r="R36" i="33"/>
  <c r="A35" i="33"/>
  <c r="R36" i="32"/>
  <c r="Q36" i="32"/>
  <c r="A35" i="32"/>
  <c r="R36" i="31"/>
  <c r="Q36" i="31"/>
  <c r="A35" i="31"/>
  <c r="A35" i="30"/>
  <c r="A35" i="29"/>
  <c r="A35" i="28"/>
  <c r="A35" i="27"/>
  <c r="A35" i="26"/>
  <c r="A35" i="25"/>
  <c r="A35" i="24"/>
  <c r="A35" i="23"/>
  <c r="A35" i="22"/>
  <c r="A35" i="21"/>
  <c r="A35" i="20"/>
  <c r="A35" i="19"/>
  <c r="A35" i="18"/>
  <c r="A35" i="17"/>
  <c r="A35" i="16"/>
  <c r="A35" i="15"/>
  <c r="A35" i="14"/>
  <c r="A35" i="13"/>
  <c r="A35" i="12"/>
  <c r="A35" i="11"/>
  <c r="A35" i="10"/>
  <c r="A35" i="9"/>
  <c r="A35" i="8"/>
  <c r="A35" i="7"/>
  <c r="A35" i="6"/>
  <c r="A35" i="4"/>
  <c r="A35" i="3"/>
  <c r="A35" i="1"/>
  <c r="R36" i="30"/>
  <c r="Q36" i="30"/>
  <c r="R36" i="29"/>
  <c r="Q36" i="29"/>
  <c r="R36" i="28"/>
  <c r="Q36" i="28"/>
  <c r="R36" i="27"/>
  <c r="Q36" i="27"/>
  <c r="R36" i="26"/>
  <c r="Q36" i="26"/>
  <c r="R36" i="25"/>
  <c r="Q36" i="25"/>
  <c r="R36" i="24"/>
  <c r="Q36" i="24"/>
  <c r="R36" i="23"/>
  <c r="Q36" i="23"/>
  <c r="R36" i="22"/>
  <c r="Q36" i="22"/>
  <c r="R36" i="21"/>
  <c r="Q36" i="21"/>
  <c r="R36" i="20"/>
  <c r="R36" i="19"/>
  <c r="Q36" i="19"/>
  <c r="R36" i="18"/>
  <c r="Q36" i="18"/>
  <c r="R36" i="17"/>
  <c r="Q36" i="17"/>
  <c r="R36" i="16"/>
  <c r="Q36" i="16"/>
  <c r="R36" i="15"/>
  <c r="Q36" i="15"/>
  <c r="R36" i="14"/>
  <c r="Q36" i="14"/>
  <c r="R36" i="13"/>
  <c r="Q36" i="13"/>
  <c r="E2" i="53" l="1"/>
  <c r="E1" i="53" s="1"/>
  <c r="G3" i="53"/>
  <c r="E2" i="35"/>
  <c r="E1" i="35" s="1"/>
  <c r="G3" i="35"/>
  <c r="K2" i="1"/>
  <c r="K1" i="1" s="1"/>
  <c r="I3" i="1"/>
  <c r="B35" i="1"/>
  <c r="S35" i="1" s="1"/>
  <c r="B35" i="3" s="1"/>
  <c r="S35" i="3" s="1"/>
  <c r="B35" i="4" s="1"/>
  <c r="S35" i="4" s="1"/>
  <c r="B35" i="6" s="1"/>
  <c r="S35" i="6" s="1"/>
  <c r="B35" i="7" s="1"/>
  <c r="S35" i="7" s="1"/>
  <c r="B35" i="8" s="1"/>
  <c r="S35" i="8" s="1"/>
  <c r="B35" i="9" s="1"/>
  <c r="S35" i="9" s="1"/>
  <c r="B35" i="10" s="1"/>
  <c r="S35" i="10" s="1"/>
  <c r="B35" i="11" s="1"/>
  <c r="S35" i="11" s="1"/>
  <c r="B35" i="12" s="1"/>
  <c r="S35" i="12" s="1"/>
  <c r="B35" i="13" s="1"/>
  <c r="S35" i="13" s="1"/>
  <c r="B35" i="14" s="1"/>
  <c r="S35" i="14" s="1"/>
  <c r="B35" i="15" s="1"/>
  <c r="S35" i="15" s="1"/>
  <c r="B35" i="16" s="1"/>
  <c r="S35" i="16" s="1"/>
  <c r="B35" i="17" s="1"/>
  <c r="S35" i="17" s="1"/>
  <c r="B35" i="18" s="1"/>
  <c r="S35" i="18" s="1"/>
  <c r="B35" i="19" s="1"/>
  <c r="S35" i="19" s="1"/>
  <c r="B35" i="20" s="1"/>
  <c r="S35" i="20" s="1"/>
  <c r="B35" i="21" s="1"/>
  <c r="S35" i="21" s="1"/>
  <c r="B35" i="22" s="1"/>
  <c r="S35" i="22" s="1"/>
  <c r="B35" i="23" s="1"/>
  <c r="S35" i="23" s="1"/>
  <c r="B35" i="24" s="1"/>
  <c r="S35" i="24" s="1"/>
  <c r="B35" i="25" s="1"/>
  <c r="S35" i="25" s="1"/>
  <c r="B35" i="26" s="1"/>
  <c r="S35" i="26" s="1"/>
  <c r="B35" i="27" s="1"/>
  <c r="S35" i="27" s="1"/>
  <c r="B35" i="28" s="1"/>
  <c r="S35" i="28" s="1"/>
  <c r="B35" i="29" s="1"/>
  <c r="S35" i="29" s="1"/>
  <c r="B35" i="30" s="1"/>
  <c r="S35" i="30" s="1"/>
  <c r="B35" i="31" s="1"/>
  <c r="S35" i="31" s="1"/>
  <c r="B35" i="32" s="1"/>
  <c r="S35" i="32" s="1"/>
  <c r="B35" i="33" s="1"/>
  <c r="S35" i="33" s="1"/>
  <c r="B35" i="34" s="1"/>
  <c r="S35" i="34" s="1"/>
  <c r="B35" i="35" s="1"/>
  <c r="S35" i="35" s="1"/>
  <c r="B35" i="36" s="1"/>
  <c r="S35" i="36" s="1"/>
  <c r="B35" i="37" s="1"/>
  <c r="S35" i="37" s="1"/>
  <c r="B35" i="38" s="1"/>
  <c r="S35" i="38" s="1"/>
  <c r="B35" i="39" s="1"/>
  <c r="S35" i="39" s="1"/>
  <c r="B35" i="40" s="1"/>
  <c r="S35" i="40" s="1"/>
  <c r="B35" i="41" s="1"/>
  <c r="S35" i="41" s="1"/>
  <c r="B35" i="42" s="1"/>
  <c r="S35" i="42" s="1"/>
  <c r="B35" i="43" s="1"/>
  <c r="S35" i="43" s="1"/>
  <c r="B35" i="44" s="1"/>
  <c r="S35" i="44" s="1"/>
  <c r="B35" i="45" s="1"/>
  <c r="S35" i="45" s="1"/>
  <c r="B35" i="46" s="1"/>
  <c r="S35" i="46" s="1"/>
  <c r="B35" i="47" s="1"/>
  <c r="S35" i="47" s="1"/>
  <c r="B35" i="48" s="1"/>
  <c r="S35" i="48" s="1"/>
  <c r="B35" i="49" s="1"/>
  <c r="S35" i="49" s="1"/>
  <c r="B35" i="50" s="1"/>
  <c r="S35" i="50" s="1"/>
  <c r="B35" i="51" s="1"/>
  <c r="S35" i="51" s="1"/>
  <c r="B35" i="52" s="1"/>
  <c r="S35" i="52" s="1"/>
  <c r="B35" i="53" s="1"/>
  <c r="S35" i="53" s="1"/>
  <c r="B35" i="54" s="1"/>
  <c r="S35" i="54" s="1"/>
  <c r="B35" i="55" s="1"/>
  <c r="S35" i="55" s="1"/>
  <c r="B35" i="56" s="1"/>
  <c r="S35" i="56" s="1"/>
  <c r="B35" i="57" s="1"/>
  <c r="S35" i="57" s="1"/>
  <c r="G2" i="35" l="1"/>
  <c r="G1" i="35" s="1"/>
  <c r="I3" i="35"/>
  <c r="I3" i="53"/>
  <c r="G2" i="53"/>
  <c r="G1" i="53" s="1"/>
  <c r="I2" i="1"/>
  <c r="I1" i="1" s="1"/>
  <c r="G3" i="1"/>
  <c r="L39" i="5"/>
  <c r="L38" i="5"/>
  <c r="K3" i="53" l="1"/>
  <c r="I2" i="53"/>
  <c r="I1" i="53" s="1"/>
  <c r="I2" i="35"/>
  <c r="I1" i="35" s="1"/>
  <c r="K3" i="35"/>
  <c r="G2" i="1"/>
  <c r="G1" i="1" s="1"/>
  <c r="E3" i="1"/>
  <c r="K2" i="35" l="1"/>
  <c r="K1" i="35" s="1"/>
  <c r="M3" i="35"/>
  <c r="K2" i="53"/>
  <c r="K1" i="53" s="1"/>
  <c r="M3" i="53"/>
  <c r="E2" i="1"/>
  <c r="E1" i="1" s="1"/>
  <c r="C3" i="1"/>
  <c r="R106" i="5"/>
  <c r="Q108" i="5" s="1"/>
  <c r="Q109" i="5" s="1"/>
  <c r="Q110" i="5" s="1"/>
  <c r="Q111" i="5" s="1"/>
  <c r="Q112" i="5" s="1"/>
  <c r="Q113" i="5" s="1"/>
  <c r="Q114" i="5" s="1"/>
  <c r="Q115" i="5" s="1"/>
  <c r="Q116" i="5" s="1"/>
  <c r="Q117" i="5" s="1"/>
  <c r="Q118" i="5" s="1"/>
  <c r="Q119" i="5" s="1"/>
  <c r="Q120" i="5" s="1"/>
  <c r="Q121" i="5" s="1"/>
  <c r="Q122" i="5" s="1"/>
  <c r="Q123" i="5" s="1"/>
  <c r="Q124" i="5" s="1"/>
  <c r="Q125" i="5" s="1"/>
  <c r="Q126" i="5" s="1"/>
  <c r="Q127" i="5" s="1"/>
  <c r="Q128" i="5" s="1"/>
  <c r="Q129" i="5" s="1"/>
  <c r="Q130" i="5" s="1"/>
  <c r="Q131" i="5" s="1"/>
  <c r="Q132" i="5" s="1"/>
  <c r="Q133" i="5" s="1"/>
  <c r="Q134" i="5" s="1"/>
  <c r="Q135" i="5" s="1"/>
  <c r="Q136" i="5" s="1"/>
  <c r="Q137" i="5" s="1"/>
  <c r="Q138" i="5" s="1"/>
  <c r="J106" i="5"/>
  <c r="I108" i="5" s="1"/>
  <c r="I109" i="5" s="1"/>
  <c r="I110" i="5" s="1"/>
  <c r="I111" i="5" s="1"/>
  <c r="I112" i="5" s="1"/>
  <c r="I113" i="5" s="1"/>
  <c r="I114" i="5" s="1"/>
  <c r="I115" i="5" s="1"/>
  <c r="I116" i="5" s="1"/>
  <c r="I117" i="5" s="1"/>
  <c r="I118" i="5" s="1"/>
  <c r="I119" i="5" s="1"/>
  <c r="I120" i="5" s="1"/>
  <c r="I121" i="5" s="1"/>
  <c r="I122" i="5" s="1"/>
  <c r="I123" i="5" s="1"/>
  <c r="I124" i="5" s="1"/>
  <c r="I125" i="5" s="1"/>
  <c r="I126" i="5" s="1"/>
  <c r="I127" i="5" s="1"/>
  <c r="I128" i="5" s="1"/>
  <c r="I129" i="5" s="1"/>
  <c r="I130" i="5" s="1"/>
  <c r="I131" i="5" s="1"/>
  <c r="I132" i="5" s="1"/>
  <c r="I133" i="5" s="1"/>
  <c r="I134" i="5" s="1"/>
  <c r="I135" i="5" s="1"/>
  <c r="I136" i="5" s="1"/>
  <c r="B106" i="5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R71" i="5"/>
  <c r="Q73" i="5" s="1"/>
  <c r="Q74" i="5" s="1"/>
  <c r="Q75" i="5" s="1"/>
  <c r="Q76" i="5" s="1"/>
  <c r="Q77" i="5" s="1"/>
  <c r="Q78" i="5" s="1"/>
  <c r="Q79" i="5" s="1"/>
  <c r="Q80" i="5" s="1"/>
  <c r="Q81" i="5" s="1"/>
  <c r="Q82" i="5" s="1"/>
  <c r="Q83" i="5" s="1"/>
  <c r="Q84" i="5" s="1"/>
  <c r="Q85" i="5" s="1"/>
  <c r="Q86" i="5" s="1"/>
  <c r="Q87" i="5" s="1"/>
  <c r="Q88" i="5" s="1"/>
  <c r="Q89" i="5" s="1"/>
  <c r="Q90" i="5" s="1"/>
  <c r="Q91" i="5" s="1"/>
  <c r="Q92" i="5" s="1"/>
  <c r="Q93" i="5" s="1"/>
  <c r="Q94" i="5" s="1"/>
  <c r="Q95" i="5" s="1"/>
  <c r="Q96" i="5" s="1"/>
  <c r="Q97" i="5" s="1"/>
  <c r="Q98" i="5" s="1"/>
  <c r="Q99" i="5" s="1"/>
  <c r="Q100" i="5" s="1"/>
  <c r="Q101" i="5" s="1"/>
  <c r="Q102" i="5" s="1"/>
  <c r="Q103" i="5" s="1"/>
  <c r="J71" i="5"/>
  <c r="I73" i="5" s="1"/>
  <c r="I74" i="5" s="1"/>
  <c r="I75" i="5" s="1"/>
  <c r="I76" i="5" s="1"/>
  <c r="I77" i="5" s="1"/>
  <c r="I78" i="5" s="1"/>
  <c r="I79" i="5" s="1"/>
  <c r="I80" i="5" s="1"/>
  <c r="I81" i="5" s="1"/>
  <c r="I82" i="5" s="1"/>
  <c r="I83" i="5" s="1"/>
  <c r="I84" i="5" s="1"/>
  <c r="I85" i="5" s="1"/>
  <c r="I86" i="5" s="1"/>
  <c r="I87" i="5" s="1"/>
  <c r="I88" i="5" s="1"/>
  <c r="I89" i="5" s="1"/>
  <c r="I90" i="5" s="1"/>
  <c r="I91" i="5" s="1"/>
  <c r="I92" i="5" s="1"/>
  <c r="I93" i="5" s="1"/>
  <c r="I94" i="5" s="1"/>
  <c r="I95" i="5" s="1"/>
  <c r="I96" i="5" s="1"/>
  <c r="I97" i="5" s="1"/>
  <c r="I98" i="5" s="1"/>
  <c r="I99" i="5" s="1"/>
  <c r="I100" i="5" s="1"/>
  <c r="I101" i="5" s="1"/>
  <c r="I102" i="5" s="1"/>
  <c r="B71" i="5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R36" i="5"/>
  <c r="Q38" i="5" s="1"/>
  <c r="Q39" i="5" s="1"/>
  <c r="Q40" i="5" s="1"/>
  <c r="Q41" i="5" s="1"/>
  <c r="Q42" i="5" s="1"/>
  <c r="Q43" i="5" s="1"/>
  <c r="Q44" i="5" s="1"/>
  <c r="Q45" i="5" s="1"/>
  <c r="Q46" i="5" s="1"/>
  <c r="Q47" i="5" s="1"/>
  <c r="Q48" i="5" s="1"/>
  <c r="Q49" i="5" s="1"/>
  <c r="Q50" i="5" s="1"/>
  <c r="Q51" i="5" s="1"/>
  <c r="Q52" i="5" s="1"/>
  <c r="Q53" i="5" s="1"/>
  <c r="Q54" i="5" s="1"/>
  <c r="Q55" i="5" s="1"/>
  <c r="Q56" i="5" s="1"/>
  <c r="Q57" i="5" s="1"/>
  <c r="Q58" i="5" s="1"/>
  <c r="Q59" i="5" s="1"/>
  <c r="Q60" i="5" s="1"/>
  <c r="Q61" i="5" s="1"/>
  <c r="Q62" i="5" s="1"/>
  <c r="Q63" i="5" s="1"/>
  <c r="Q64" i="5" s="1"/>
  <c r="Q65" i="5" s="1"/>
  <c r="Q66" i="5" s="1"/>
  <c r="Q67" i="5" s="1"/>
  <c r="Q68" i="5" s="1"/>
  <c r="T68" i="5" s="1"/>
  <c r="J36" i="5"/>
  <c r="I38" i="5" s="1"/>
  <c r="I39" i="5" s="1"/>
  <c r="I40" i="5" s="1"/>
  <c r="I41" i="5" s="1"/>
  <c r="I42" i="5" s="1"/>
  <c r="I43" i="5" s="1"/>
  <c r="I44" i="5" s="1"/>
  <c r="I45" i="5" s="1"/>
  <c r="I46" i="5" s="1"/>
  <c r="I47" i="5" s="1"/>
  <c r="I48" i="5" s="1"/>
  <c r="I49" i="5" s="1"/>
  <c r="I50" i="5" s="1"/>
  <c r="I51" i="5" s="1"/>
  <c r="I52" i="5" s="1"/>
  <c r="I53" i="5" s="1"/>
  <c r="I54" i="5" s="1"/>
  <c r="I55" i="5" s="1"/>
  <c r="I56" i="5" s="1"/>
  <c r="I57" i="5" s="1"/>
  <c r="I58" i="5" s="1"/>
  <c r="I59" i="5" s="1"/>
  <c r="I60" i="5" s="1"/>
  <c r="I61" i="5" s="1"/>
  <c r="I62" i="5" s="1"/>
  <c r="I63" i="5" s="1"/>
  <c r="I64" i="5" s="1"/>
  <c r="I65" i="5" s="1"/>
  <c r="I66" i="5" s="1"/>
  <c r="I67" i="5" s="1"/>
  <c r="I68" i="5" s="1"/>
  <c r="B36" i="5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D68" i="5" s="1"/>
  <c r="O3" i="53" l="1"/>
  <c r="M2" i="53"/>
  <c r="M1" i="53" s="1"/>
  <c r="M2" i="35"/>
  <c r="M1" i="35" s="1"/>
  <c r="O3" i="35"/>
  <c r="C2" i="1"/>
  <c r="C1" i="1" s="1"/>
  <c r="I103" i="5"/>
  <c r="L103" i="5" s="1"/>
  <c r="L102" i="5"/>
  <c r="I137" i="5"/>
  <c r="L136" i="5"/>
  <c r="S73" i="5"/>
  <c r="K73" i="5"/>
  <c r="C38" i="5"/>
  <c r="O2" i="35" l="1"/>
  <c r="O1" i="35" s="1"/>
  <c r="O2" i="53"/>
  <c r="O1" i="53" s="1"/>
  <c r="I138" i="5"/>
  <c r="L138" i="5" s="1"/>
  <c r="L137" i="5"/>
  <c r="B39" i="5"/>
  <c r="B108" i="5"/>
  <c r="C108" i="5"/>
  <c r="K108" i="5"/>
  <c r="J108" i="5"/>
  <c r="R108" i="5"/>
  <c r="S108" i="5"/>
  <c r="C73" i="5"/>
  <c r="B73" i="5"/>
  <c r="R73" i="5"/>
  <c r="J73" i="5"/>
  <c r="J38" i="5"/>
  <c r="K38" i="5"/>
  <c r="R38" i="5"/>
  <c r="S38" i="5"/>
  <c r="B38" i="5"/>
  <c r="O112" i="5" l="1"/>
  <c r="O111" i="5"/>
  <c r="O109" i="5"/>
  <c r="O110" i="5"/>
  <c r="O107" i="5"/>
  <c r="C39" i="5"/>
  <c r="B40" i="5"/>
  <c r="B74" i="5"/>
  <c r="C74" i="5"/>
  <c r="R39" i="5"/>
  <c r="S39" i="5"/>
  <c r="K39" i="5"/>
  <c r="J39" i="5"/>
  <c r="I3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R30" i="3"/>
  <c r="T30" i="3" s="1"/>
  <c r="Q30" i="3"/>
  <c r="U30" i="3" s="1"/>
  <c r="A30" i="3"/>
  <c r="R28" i="3"/>
  <c r="T28" i="3" s="1"/>
  <c r="Q28" i="3"/>
  <c r="U28" i="3" s="1"/>
  <c r="A28" i="3"/>
  <c r="R27" i="3"/>
  <c r="T27" i="3" s="1"/>
  <c r="Q27" i="3"/>
  <c r="U27" i="3" s="1"/>
  <c r="A27" i="3"/>
  <c r="R26" i="3"/>
  <c r="T26" i="3" s="1"/>
  <c r="Q26" i="3"/>
  <c r="U26" i="3" s="1"/>
  <c r="A26" i="3"/>
  <c r="R24" i="3"/>
  <c r="T24" i="3" s="1"/>
  <c r="Q24" i="3"/>
  <c r="U24" i="3" s="1"/>
  <c r="A24" i="3"/>
  <c r="R23" i="3"/>
  <c r="T23" i="3" s="1"/>
  <c r="Q23" i="3"/>
  <c r="U23" i="3" s="1"/>
  <c r="A23" i="3"/>
  <c r="R22" i="3"/>
  <c r="T22" i="3" s="1"/>
  <c r="Q22" i="3"/>
  <c r="U22" i="3" s="1"/>
  <c r="A22" i="3"/>
  <c r="R20" i="3"/>
  <c r="T20" i="3" s="1"/>
  <c r="Q20" i="3"/>
  <c r="U20" i="3" s="1"/>
  <c r="A20" i="3"/>
  <c r="P18" i="3"/>
  <c r="P33" i="3" s="1"/>
  <c r="O18" i="3"/>
  <c r="O33" i="3" s="1"/>
  <c r="N18" i="3"/>
  <c r="N33" i="3" s="1"/>
  <c r="M18" i="3"/>
  <c r="M33" i="3" s="1"/>
  <c r="L18" i="3"/>
  <c r="L33" i="3" s="1"/>
  <c r="K18" i="3"/>
  <c r="K33" i="3" s="1"/>
  <c r="J18" i="3"/>
  <c r="J33" i="3" s="1"/>
  <c r="I18" i="3"/>
  <c r="I33" i="3" s="1"/>
  <c r="H18" i="3"/>
  <c r="H33" i="3" s="1"/>
  <c r="G18" i="3"/>
  <c r="G33" i="3" s="1"/>
  <c r="F18" i="3"/>
  <c r="F33" i="3" s="1"/>
  <c r="E18" i="3"/>
  <c r="E33" i="3" s="1"/>
  <c r="D18" i="3"/>
  <c r="D33" i="3" s="1"/>
  <c r="C18" i="3"/>
  <c r="C33" i="3" s="1"/>
  <c r="R17" i="3"/>
  <c r="T17" i="3" s="1"/>
  <c r="Q17" i="3"/>
  <c r="U17" i="3" s="1"/>
  <c r="A17" i="3"/>
  <c r="R15" i="3"/>
  <c r="T15" i="3" s="1"/>
  <c r="Q15" i="3"/>
  <c r="U15" i="3" s="1"/>
  <c r="A15" i="3"/>
  <c r="R14" i="3"/>
  <c r="T14" i="3" s="1"/>
  <c r="Q14" i="3"/>
  <c r="U14" i="3" s="1"/>
  <c r="A14" i="3"/>
  <c r="R12" i="3"/>
  <c r="T12" i="3" s="1"/>
  <c r="Q12" i="3"/>
  <c r="U12" i="3" s="1"/>
  <c r="A12" i="3"/>
  <c r="R11" i="3"/>
  <c r="T11" i="3" s="1"/>
  <c r="Q11" i="3"/>
  <c r="U11" i="3" s="1"/>
  <c r="A11" i="3"/>
  <c r="R10" i="3"/>
  <c r="Q10" i="3"/>
  <c r="U10" i="3" s="1"/>
  <c r="A10" i="3"/>
  <c r="R9" i="3"/>
  <c r="T9" i="3" s="1"/>
  <c r="Q9" i="3"/>
  <c r="U9" i="3" s="1"/>
  <c r="A9" i="3"/>
  <c r="R7" i="3"/>
  <c r="T7" i="3" s="1"/>
  <c r="Q7" i="3"/>
  <c r="U7" i="3" s="1"/>
  <c r="A7" i="3"/>
  <c r="R6" i="3"/>
  <c r="T6" i="3" s="1"/>
  <c r="Q6" i="3"/>
  <c r="U6" i="3" s="1"/>
  <c r="A6" i="3"/>
  <c r="R5" i="3"/>
  <c r="Q5" i="3"/>
  <c r="U5" i="3" s="1"/>
  <c r="A5" i="3"/>
  <c r="J3" i="3" l="1"/>
  <c r="I2" i="3"/>
  <c r="I1" i="3" s="1"/>
  <c r="D7" i="5"/>
  <c r="D12" i="5"/>
  <c r="D6" i="5"/>
  <c r="D11" i="5"/>
  <c r="C41" i="5"/>
  <c r="C40" i="5"/>
  <c r="D8" i="5"/>
  <c r="D9" i="5"/>
  <c r="D10" i="5"/>
  <c r="C75" i="5"/>
  <c r="B75" i="5"/>
  <c r="K40" i="5"/>
  <c r="J40" i="5"/>
  <c r="S40" i="5"/>
  <c r="R40" i="5"/>
  <c r="R18" i="3"/>
  <c r="R33" i="3" s="1"/>
  <c r="R36" i="3" s="1"/>
  <c r="T31" i="3"/>
  <c r="O3" i="3"/>
  <c r="M3" i="3"/>
  <c r="E3" i="3"/>
  <c r="Q31" i="3"/>
  <c r="T10" i="3"/>
  <c r="R31" i="3"/>
  <c r="K3" i="3"/>
  <c r="D3" i="3"/>
  <c r="T5" i="3"/>
  <c r="Q18" i="3"/>
  <c r="Q33" i="3" s="1"/>
  <c r="Q36" i="3" s="1"/>
  <c r="G3" i="3"/>
  <c r="F3" i="3" l="1"/>
  <c r="E2" i="3"/>
  <c r="E1" i="3" s="1"/>
  <c r="H3" i="3"/>
  <c r="G2" i="3"/>
  <c r="G1" i="3" s="1"/>
  <c r="P3" i="3"/>
  <c r="O2" i="3"/>
  <c r="O1" i="3" s="1"/>
  <c r="N3" i="3"/>
  <c r="M2" i="3"/>
  <c r="M1" i="3" s="1"/>
  <c r="L3" i="3"/>
  <c r="K2" i="3"/>
  <c r="K1" i="3" s="1"/>
  <c r="B41" i="5"/>
  <c r="C76" i="5"/>
  <c r="B76" i="5"/>
  <c r="S41" i="5"/>
  <c r="R41" i="5"/>
  <c r="B42" i="5"/>
  <c r="K41" i="5"/>
  <c r="J41" i="5"/>
  <c r="T18" i="3"/>
  <c r="T33" i="3" s="1"/>
  <c r="B1" i="5"/>
  <c r="R1" i="5" s="1"/>
  <c r="Q3" i="5" s="1"/>
  <c r="A9" i="50"/>
  <c r="A10" i="50"/>
  <c r="A11" i="50"/>
  <c r="A12" i="50"/>
  <c r="C42" i="5" l="1"/>
  <c r="C77" i="5"/>
  <c r="B77" i="5"/>
  <c r="K42" i="5"/>
  <c r="J42" i="5"/>
  <c r="C43" i="5"/>
  <c r="B43" i="5"/>
  <c r="S42" i="5"/>
  <c r="R42" i="5"/>
  <c r="R3" i="5"/>
  <c r="Q4" i="5"/>
  <c r="S3" i="5"/>
  <c r="J1" i="5"/>
  <c r="I3" i="5" s="1"/>
  <c r="A3" i="5"/>
  <c r="C109" i="5" l="1"/>
  <c r="B109" i="5"/>
  <c r="R74" i="5"/>
  <c r="S74" i="5"/>
  <c r="R109" i="5"/>
  <c r="S109" i="5"/>
  <c r="B78" i="5"/>
  <c r="C78" i="5"/>
  <c r="S43" i="5"/>
  <c r="R43" i="5"/>
  <c r="C44" i="5"/>
  <c r="B44" i="5"/>
  <c r="K43" i="5"/>
  <c r="J43" i="5"/>
  <c r="R4" i="5"/>
  <c r="S4" i="5"/>
  <c r="Q5" i="5"/>
  <c r="K3" i="5"/>
  <c r="J3" i="5"/>
  <c r="I4" i="5"/>
  <c r="C3" i="5"/>
  <c r="B3" i="5"/>
  <c r="A4" i="5"/>
  <c r="O3" i="7"/>
  <c r="O3" i="6"/>
  <c r="I3" i="4"/>
  <c r="P31" i="57"/>
  <c r="O31" i="57"/>
  <c r="N31" i="57"/>
  <c r="M31" i="57"/>
  <c r="L31" i="57"/>
  <c r="K31" i="57"/>
  <c r="J31" i="57"/>
  <c r="I31" i="57"/>
  <c r="H31" i="57"/>
  <c r="G31" i="57"/>
  <c r="F31" i="57"/>
  <c r="E31" i="57"/>
  <c r="D31" i="57"/>
  <c r="C31" i="57"/>
  <c r="W30" i="57"/>
  <c r="T30" i="57"/>
  <c r="R30" i="57"/>
  <c r="Q30" i="57"/>
  <c r="A30" i="57"/>
  <c r="W28" i="57"/>
  <c r="T28" i="57"/>
  <c r="R28" i="57"/>
  <c r="Q28" i="57"/>
  <c r="A28" i="57"/>
  <c r="W27" i="57"/>
  <c r="R27" i="57"/>
  <c r="T27" i="57" s="1"/>
  <c r="Q27" i="57"/>
  <c r="A27" i="57"/>
  <c r="R26" i="57"/>
  <c r="T26" i="57" s="1"/>
  <c r="Q26" i="57"/>
  <c r="W26" i="57" s="1"/>
  <c r="A26" i="57"/>
  <c r="T24" i="57"/>
  <c r="R24" i="57"/>
  <c r="Q24" i="57"/>
  <c r="W24" i="57" s="1"/>
  <c r="A24" i="57"/>
  <c r="W23" i="57"/>
  <c r="R23" i="57"/>
  <c r="T23" i="57" s="1"/>
  <c r="Q23" i="57"/>
  <c r="A23" i="57"/>
  <c r="R22" i="57"/>
  <c r="T22" i="57" s="1"/>
  <c r="Q22" i="57"/>
  <c r="W22" i="57" s="1"/>
  <c r="A22" i="57"/>
  <c r="W20" i="57"/>
  <c r="R20" i="57"/>
  <c r="T20" i="57" s="1"/>
  <c r="T31" i="57" s="1"/>
  <c r="Q20" i="57"/>
  <c r="A20" i="57"/>
  <c r="P18" i="57"/>
  <c r="P33" i="57" s="1"/>
  <c r="O18" i="57"/>
  <c r="O33" i="57" s="1"/>
  <c r="N18" i="57"/>
  <c r="N33" i="57" s="1"/>
  <c r="M18" i="57"/>
  <c r="M33" i="57" s="1"/>
  <c r="L18" i="57"/>
  <c r="L33" i="57" s="1"/>
  <c r="K18" i="57"/>
  <c r="K33" i="57" s="1"/>
  <c r="J18" i="57"/>
  <c r="J33" i="57" s="1"/>
  <c r="I18" i="57"/>
  <c r="I33" i="57" s="1"/>
  <c r="H18" i="57"/>
  <c r="H33" i="57" s="1"/>
  <c r="G18" i="57"/>
  <c r="G33" i="57" s="1"/>
  <c r="F18" i="57"/>
  <c r="F33" i="57" s="1"/>
  <c r="E18" i="57"/>
  <c r="E33" i="57" s="1"/>
  <c r="D18" i="57"/>
  <c r="D33" i="57" s="1"/>
  <c r="C18" i="57"/>
  <c r="C33" i="57" s="1"/>
  <c r="R17" i="57"/>
  <c r="T17" i="57" s="1"/>
  <c r="Q17" i="57"/>
  <c r="W17" i="57" s="1"/>
  <c r="A17" i="57"/>
  <c r="R15" i="57"/>
  <c r="T15" i="57" s="1"/>
  <c r="Q15" i="57"/>
  <c r="W15" i="57" s="1"/>
  <c r="A15" i="57"/>
  <c r="W14" i="57"/>
  <c r="R14" i="57"/>
  <c r="T14" i="57" s="1"/>
  <c r="Q14" i="57"/>
  <c r="A14" i="57"/>
  <c r="W12" i="57"/>
  <c r="T12" i="57"/>
  <c r="R12" i="57"/>
  <c r="Q12" i="57"/>
  <c r="A12" i="57"/>
  <c r="W11" i="57"/>
  <c r="T11" i="57"/>
  <c r="R11" i="57"/>
  <c r="Q11" i="57"/>
  <c r="A11" i="57"/>
  <c r="W10" i="57"/>
  <c r="R10" i="57"/>
  <c r="T10" i="57" s="1"/>
  <c r="Q10" i="57"/>
  <c r="A10" i="57"/>
  <c r="R9" i="57"/>
  <c r="T9" i="57" s="1"/>
  <c r="Q9" i="57"/>
  <c r="W9" i="57" s="1"/>
  <c r="A9" i="57"/>
  <c r="R7" i="57"/>
  <c r="T7" i="57" s="1"/>
  <c r="Q7" i="57"/>
  <c r="W7" i="57" s="1"/>
  <c r="A7" i="57"/>
  <c r="R6" i="57"/>
  <c r="T6" i="57" s="1"/>
  <c r="Q6" i="57"/>
  <c r="W6" i="57" s="1"/>
  <c r="A6" i="57"/>
  <c r="R5" i="57"/>
  <c r="R18" i="57" s="1"/>
  <c r="Q5" i="57"/>
  <c r="W5" i="57" s="1"/>
  <c r="A5" i="57"/>
  <c r="I3" i="57"/>
  <c r="O3" i="57"/>
  <c r="E33" i="56"/>
  <c r="P31" i="56"/>
  <c r="O31" i="56"/>
  <c r="N31" i="56"/>
  <c r="M31" i="56"/>
  <c r="L31" i="56"/>
  <c r="K31" i="56"/>
  <c r="J31" i="56"/>
  <c r="I31" i="56"/>
  <c r="H31" i="56"/>
  <c r="G31" i="56"/>
  <c r="F31" i="56"/>
  <c r="E31" i="56"/>
  <c r="D31" i="56"/>
  <c r="C31" i="56"/>
  <c r="W30" i="56"/>
  <c r="T30" i="56"/>
  <c r="R30" i="56"/>
  <c r="Q30" i="56"/>
  <c r="A30" i="56"/>
  <c r="W28" i="56"/>
  <c r="T28" i="56"/>
  <c r="R28" i="56"/>
  <c r="Q28" i="56"/>
  <c r="A28" i="56"/>
  <c r="W27" i="56"/>
  <c r="R27" i="56"/>
  <c r="Q27" i="56"/>
  <c r="A27" i="56"/>
  <c r="R26" i="56"/>
  <c r="T26" i="56" s="1"/>
  <c r="Q26" i="56"/>
  <c r="W26" i="56" s="1"/>
  <c r="A26" i="56"/>
  <c r="T24" i="56"/>
  <c r="R24" i="56"/>
  <c r="Q24" i="56"/>
  <c r="Q31" i="56" s="1"/>
  <c r="A24" i="56"/>
  <c r="R23" i="56"/>
  <c r="T23" i="56" s="1"/>
  <c r="Q23" i="56"/>
  <c r="W23" i="56" s="1"/>
  <c r="A23" i="56"/>
  <c r="R22" i="56"/>
  <c r="T22" i="56" s="1"/>
  <c r="Q22" i="56"/>
  <c r="W22" i="56" s="1"/>
  <c r="A22" i="56"/>
  <c r="W20" i="56"/>
  <c r="R20" i="56"/>
  <c r="T20" i="56" s="1"/>
  <c r="Q20" i="56"/>
  <c r="A20" i="56"/>
  <c r="P18" i="56"/>
  <c r="P33" i="56" s="1"/>
  <c r="O18" i="56"/>
  <c r="O33" i="56" s="1"/>
  <c r="N18" i="56"/>
  <c r="N33" i="56" s="1"/>
  <c r="M18" i="56"/>
  <c r="M33" i="56" s="1"/>
  <c r="L18" i="56"/>
  <c r="L33" i="56" s="1"/>
  <c r="K18" i="56"/>
  <c r="K33" i="56" s="1"/>
  <c r="J18" i="56"/>
  <c r="J33" i="56" s="1"/>
  <c r="I18" i="56"/>
  <c r="I33" i="56" s="1"/>
  <c r="H18" i="56"/>
  <c r="H33" i="56" s="1"/>
  <c r="G18" i="56"/>
  <c r="G33" i="56" s="1"/>
  <c r="F18" i="56"/>
  <c r="F33" i="56" s="1"/>
  <c r="E18" i="56"/>
  <c r="D18" i="56"/>
  <c r="D33" i="56" s="1"/>
  <c r="C18" i="56"/>
  <c r="C33" i="56" s="1"/>
  <c r="R17" i="56"/>
  <c r="T17" i="56" s="1"/>
  <c r="Q17" i="56"/>
  <c r="W17" i="56" s="1"/>
  <c r="A17" i="56"/>
  <c r="R15" i="56"/>
  <c r="T15" i="56" s="1"/>
  <c r="Q15" i="56"/>
  <c r="W15" i="56" s="1"/>
  <c r="A15" i="56"/>
  <c r="W14" i="56"/>
  <c r="R14" i="56"/>
  <c r="T14" i="56" s="1"/>
  <c r="Q14" i="56"/>
  <c r="A14" i="56"/>
  <c r="W12" i="56"/>
  <c r="T12" i="56"/>
  <c r="R12" i="56"/>
  <c r="Q12" i="56"/>
  <c r="A12" i="56"/>
  <c r="W11" i="56"/>
  <c r="T11" i="56"/>
  <c r="R11" i="56"/>
  <c r="Q11" i="56"/>
  <c r="A11" i="56"/>
  <c r="W10" i="56"/>
  <c r="R10" i="56"/>
  <c r="Q10" i="56"/>
  <c r="A10" i="56"/>
  <c r="R9" i="56"/>
  <c r="T9" i="56" s="1"/>
  <c r="Q9" i="56"/>
  <c r="W9" i="56" s="1"/>
  <c r="A9" i="56"/>
  <c r="R7" i="56"/>
  <c r="T7" i="56" s="1"/>
  <c r="Q7" i="56"/>
  <c r="W7" i="56" s="1"/>
  <c r="A7" i="56"/>
  <c r="R6" i="56"/>
  <c r="T6" i="56" s="1"/>
  <c r="Q6" i="56"/>
  <c r="W6" i="56" s="1"/>
  <c r="A6" i="56"/>
  <c r="R5" i="56"/>
  <c r="R18" i="56" s="1"/>
  <c r="Q5" i="56"/>
  <c r="W5" i="56" s="1"/>
  <c r="A5" i="56"/>
  <c r="I3" i="56"/>
  <c r="O3" i="56"/>
  <c r="P31" i="55"/>
  <c r="O31" i="55"/>
  <c r="N31" i="55"/>
  <c r="M31" i="55"/>
  <c r="L31" i="55"/>
  <c r="K31" i="55"/>
  <c r="J31" i="55"/>
  <c r="I31" i="55"/>
  <c r="H31" i="55"/>
  <c r="G31" i="55"/>
  <c r="F31" i="55"/>
  <c r="E31" i="55"/>
  <c r="D31" i="55"/>
  <c r="C31" i="55"/>
  <c r="W30" i="55"/>
  <c r="T30" i="55"/>
  <c r="R30" i="55"/>
  <c r="Q30" i="55"/>
  <c r="A30" i="55"/>
  <c r="W28" i="55"/>
  <c r="T28" i="55"/>
  <c r="R28" i="55"/>
  <c r="Q28" i="55"/>
  <c r="A28" i="55"/>
  <c r="W27" i="55"/>
  <c r="R27" i="55"/>
  <c r="T27" i="55" s="1"/>
  <c r="Q27" i="55"/>
  <c r="A27" i="55"/>
  <c r="R26" i="55"/>
  <c r="T26" i="55" s="1"/>
  <c r="Q26" i="55"/>
  <c r="W26" i="55" s="1"/>
  <c r="A26" i="55"/>
  <c r="T24" i="55"/>
  <c r="R24" i="55"/>
  <c r="Q24" i="55"/>
  <c r="W24" i="55" s="1"/>
  <c r="A24" i="55"/>
  <c r="W23" i="55"/>
  <c r="R23" i="55"/>
  <c r="T23" i="55" s="1"/>
  <c r="Q23" i="55"/>
  <c r="A23" i="55"/>
  <c r="R22" i="55"/>
  <c r="T22" i="55" s="1"/>
  <c r="Q22" i="55"/>
  <c r="W22" i="55" s="1"/>
  <c r="A22" i="55"/>
  <c r="W20" i="55"/>
  <c r="R20" i="55"/>
  <c r="T20" i="55" s="1"/>
  <c r="Q20" i="55"/>
  <c r="A20" i="55"/>
  <c r="P18" i="55"/>
  <c r="P33" i="55" s="1"/>
  <c r="O18" i="55"/>
  <c r="O33" i="55" s="1"/>
  <c r="N18" i="55"/>
  <c r="N33" i="55" s="1"/>
  <c r="M18" i="55"/>
  <c r="M33" i="55" s="1"/>
  <c r="L18" i="55"/>
  <c r="L33" i="55" s="1"/>
  <c r="T138" i="5" s="1"/>
  <c r="K18" i="55"/>
  <c r="K33" i="55" s="1"/>
  <c r="J18" i="55"/>
  <c r="J33" i="55" s="1"/>
  <c r="T137" i="5" s="1"/>
  <c r="I18" i="55"/>
  <c r="I33" i="55" s="1"/>
  <c r="H18" i="55"/>
  <c r="H33" i="55" s="1"/>
  <c r="G18" i="55"/>
  <c r="G33" i="55" s="1"/>
  <c r="F18" i="55"/>
  <c r="F33" i="55" s="1"/>
  <c r="E18" i="55"/>
  <c r="E33" i="55" s="1"/>
  <c r="D18" i="55"/>
  <c r="D33" i="55" s="1"/>
  <c r="C18" i="55"/>
  <c r="C33" i="55" s="1"/>
  <c r="R17" i="55"/>
  <c r="T17" i="55" s="1"/>
  <c r="Q17" i="55"/>
  <c r="W17" i="55" s="1"/>
  <c r="A17" i="55"/>
  <c r="R15" i="55"/>
  <c r="T15" i="55" s="1"/>
  <c r="Q15" i="55"/>
  <c r="W15" i="55" s="1"/>
  <c r="A15" i="55"/>
  <c r="W14" i="55"/>
  <c r="R14" i="55"/>
  <c r="T14" i="55" s="1"/>
  <c r="Q14" i="55"/>
  <c r="A14" i="55"/>
  <c r="W12" i="55"/>
  <c r="T12" i="55"/>
  <c r="R12" i="55"/>
  <c r="Q12" i="55"/>
  <c r="A12" i="55"/>
  <c r="W11" i="55"/>
  <c r="T11" i="55"/>
  <c r="R11" i="55"/>
  <c r="Q11" i="55"/>
  <c r="A11" i="55"/>
  <c r="W10" i="55"/>
  <c r="R10" i="55"/>
  <c r="T10" i="55" s="1"/>
  <c r="Q10" i="55"/>
  <c r="A10" i="55"/>
  <c r="R9" i="55"/>
  <c r="T9" i="55" s="1"/>
  <c r="Q9" i="55"/>
  <c r="W9" i="55" s="1"/>
  <c r="A9" i="55"/>
  <c r="T7" i="55"/>
  <c r="R7" i="55"/>
  <c r="Q7" i="55"/>
  <c r="W7" i="55" s="1"/>
  <c r="A7" i="55"/>
  <c r="R6" i="55"/>
  <c r="T6" i="55" s="1"/>
  <c r="Q6" i="55"/>
  <c r="W6" i="55" s="1"/>
  <c r="A6" i="55"/>
  <c r="R5" i="55"/>
  <c r="R18" i="55" s="1"/>
  <c r="Q5" i="55"/>
  <c r="W5" i="55" s="1"/>
  <c r="A5" i="55"/>
  <c r="O3" i="55"/>
  <c r="E33" i="54"/>
  <c r="P31" i="54"/>
  <c r="O31" i="54"/>
  <c r="N31" i="54"/>
  <c r="M31" i="54"/>
  <c r="L31" i="54"/>
  <c r="K31" i="54"/>
  <c r="J31" i="54"/>
  <c r="I31" i="54"/>
  <c r="H31" i="54"/>
  <c r="G31" i="54"/>
  <c r="F31" i="54"/>
  <c r="E31" i="54"/>
  <c r="D31" i="54"/>
  <c r="C31" i="54"/>
  <c r="T30" i="54"/>
  <c r="R30" i="54"/>
  <c r="Q30" i="54"/>
  <c r="W30" i="54" s="1"/>
  <c r="A30" i="54"/>
  <c r="T28" i="54"/>
  <c r="R28" i="54"/>
  <c r="Q28" i="54"/>
  <c r="W28" i="54" s="1"/>
  <c r="A28" i="54"/>
  <c r="W27" i="54"/>
  <c r="R27" i="54"/>
  <c r="T27" i="54" s="1"/>
  <c r="Q27" i="54"/>
  <c r="A27" i="54"/>
  <c r="T26" i="54"/>
  <c r="R26" i="54"/>
  <c r="Q26" i="54"/>
  <c r="W26" i="54" s="1"/>
  <c r="A26" i="54"/>
  <c r="W24" i="54"/>
  <c r="T24" i="54"/>
  <c r="R24" i="54"/>
  <c r="Q24" i="54"/>
  <c r="A24" i="54"/>
  <c r="W23" i="54"/>
  <c r="T23" i="54"/>
  <c r="R23" i="54"/>
  <c r="Q23" i="54"/>
  <c r="A23" i="54"/>
  <c r="R22" i="54"/>
  <c r="T22" i="54" s="1"/>
  <c r="Q22" i="54"/>
  <c r="W22" i="54" s="1"/>
  <c r="A22" i="54"/>
  <c r="W20" i="54"/>
  <c r="R20" i="54"/>
  <c r="T20" i="54" s="1"/>
  <c r="Q20" i="54"/>
  <c r="A20" i="54"/>
  <c r="P18" i="54"/>
  <c r="P33" i="54" s="1"/>
  <c r="O18" i="54"/>
  <c r="O33" i="54" s="1"/>
  <c r="N18" i="54"/>
  <c r="N33" i="54" s="1"/>
  <c r="M18" i="54"/>
  <c r="M33" i="54" s="1"/>
  <c r="L18" i="54"/>
  <c r="L33" i="54" s="1"/>
  <c r="T131" i="5" s="1"/>
  <c r="K18" i="54"/>
  <c r="K33" i="54" s="1"/>
  <c r="J18" i="54"/>
  <c r="J33" i="54" s="1"/>
  <c r="I18" i="54"/>
  <c r="I33" i="54" s="1"/>
  <c r="H18" i="54"/>
  <c r="H33" i="54" s="1"/>
  <c r="G18" i="54"/>
  <c r="G33" i="54" s="1"/>
  <c r="F18" i="54"/>
  <c r="F33" i="54" s="1"/>
  <c r="E18" i="54"/>
  <c r="D18" i="54"/>
  <c r="D33" i="54" s="1"/>
  <c r="C18" i="54"/>
  <c r="C33" i="54" s="1"/>
  <c r="R17" i="54"/>
  <c r="T17" i="54" s="1"/>
  <c r="Q17" i="54"/>
  <c r="W17" i="54" s="1"/>
  <c r="A17" i="54"/>
  <c r="R15" i="54"/>
  <c r="T15" i="54" s="1"/>
  <c r="Q15" i="54"/>
  <c r="W15" i="54" s="1"/>
  <c r="A15" i="54"/>
  <c r="W14" i="54"/>
  <c r="R14" i="54"/>
  <c r="T14" i="54" s="1"/>
  <c r="Q14" i="54"/>
  <c r="A14" i="54"/>
  <c r="T12" i="54"/>
  <c r="R12" i="54"/>
  <c r="Q12" i="54"/>
  <c r="W12" i="54" s="1"/>
  <c r="A12" i="54"/>
  <c r="T11" i="54"/>
  <c r="R11" i="54"/>
  <c r="Q11" i="54"/>
  <c r="W11" i="54" s="1"/>
  <c r="A11" i="54"/>
  <c r="W10" i="54"/>
  <c r="R10" i="54"/>
  <c r="T10" i="54" s="1"/>
  <c r="Q10" i="54"/>
  <c r="A10" i="54"/>
  <c r="R9" i="54"/>
  <c r="T9" i="54" s="1"/>
  <c r="Q9" i="54"/>
  <c r="W9" i="54" s="1"/>
  <c r="A9" i="54"/>
  <c r="W7" i="54"/>
  <c r="T7" i="54"/>
  <c r="R7" i="54"/>
  <c r="Q7" i="54"/>
  <c r="A7" i="54"/>
  <c r="W6" i="54"/>
  <c r="T6" i="54"/>
  <c r="R6" i="54"/>
  <c r="Q6" i="54"/>
  <c r="A6" i="54"/>
  <c r="R5" i="54"/>
  <c r="Q5" i="54"/>
  <c r="W5" i="54" s="1"/>
  <c r="A5" i="54"/>
  <c r="M3" i="54"/>
  <c r="E3" i="54"/>
  <c r="O3" i="54"/>
  <c r="P31" i="53"/>
  <c r="O31" i="53"/>
  <c r="N31" i="53"/>
  <c r="M31" i="53"/>
  <c r="L31" i="53"/>
  <c r="K31" i="53"/>
  <c r="J31" i="53"/>
  <c r="I31" i="53"/>
  <c r="H31" i="53"/>
  <c r="G31" i="53"/>
  <c r="F31" i="53"/>
  <c r="E31" i="53"/>
  <c r="D31" i="53"/>
  <c r="C31" i="53"/>
  <c r="W30" i="53"/>
  <c r="T30" i="53"/>
  <c r="R30" i="53"/>
  <c r="Q30" i="53"/>
  <c r="A30" i="53"/>
  <c r="W28" i="53"/>
  <c r="T28" i="53"/>
  <c r="R28" i="53"/>
  <c r="Q28" i="53"/>
  <c r="A28" i="53"/>
  <c r="W27" i="53"/>
  <c r="R27" i="53"/>
  <c r="Q27" i="53"/>
  <c r="A27" i="53"/>
  <c r="R26" i="53"/>
  <c r="T26" i="53" s="1"/>
  <c r="Q26" i="53"/>
  <c r="W26" i="53" s="1"/>
  <c r="A26" i="53"/>
  <c r="R24" i="53"/>
  <c r="T24" i="53" s="1"/>
  <c r="Q24" i="53"/>
  <c r="W24" i="53" s="1"/>
  <c r="A24" i="53"/>
  <c r="R23" i="53"/>
  <c r="T23" i="53" s="1"/>
  <c r="Q23" i="53"/>
  <c r="W23" i="53" s="1"/>
  <c r="A23" i="53"/>
  <c r="R22" i="53"/>
  <c r="T22" i="53" s="1"/>
  <c r="Q22" i="53"/>
  <c r="W22" i="53" s="1"/>
  <c r="A22" i="53"/>
  <c r="W20" i="53"/>
  <c r="R20" i="53"/>
  <c r="T20" i="53" s="1"/>
  <c r="Q20" i="53"/>
  <c r="A20" i="53"/>
  <c r="P18" i="53"/>
  <c r="P33" i="53" s="1"/>
  <c r="O18" i="53"/>
  <c r="O33" i="53" s="1"/>
  <c r="N18" i="53"/>
  <c r="N33" i="53" s="1"/>
  <c r="M18" i="53"/>
  <c r="M33" i="53" s="1"/>
  <c r="L18" i="53"/>
  <c r="L33" i="53" s="1"/>
  <c r="K18" i="53"/>
  <c r="K33" i="53" s="1"/>
  <c r="J18" i="53"/>
  <c r="J33" i="53" s="1"/>
  <c r="I18" i="53"/>
  <c r="I33" i="53" s="1"/>
  <c r="H18" i="53"/>
  <c r="H33" i="53" s="1"/>
  <c r="G18" i="53"/>
  <c r="G33" i="53" s="1"/>
  <c r="F18" i="53"/>
  <c r="F33" i="53" s="1"/>
  <c r="E18" i="53"/>
  <c r="E33" i="53" s="1"/>
  <c r="D18" i="53"/>
  <c r="D33" i="53" s="1"/>
  <c r="C18" i="53"/>
  <c r="C33" i="53" s="1"/>
  <c r="R17" i="53"/>
  <c r="T17" i="53" s="1"/>
  <c r="Q17" i="53"/>
  <c r="W17" i="53" s="1"/>
  <c r="A17" i="53"/>
  <c r="R15" i="53"/>
  <c r="T15" i="53" s="1"/>
  <c r="Q15" i="53"/>
  <c r="W15" i="53" s="1"/>
  <c r="A15" i="53"/>
  <c r="W14" i="53"/>
  <c r="R14" i="53"/>
  <c r="T14" i="53" s="1"/>
  <c r="Q14" i="53"/>
  <c r="A14" i="53"/>
  <c r="W12" i="53"/>
  <c r="T12" i="53"/>
  <c r="R12" i="53"/>
  <c r="Q12" i="53"/>
  <c r="A12" i="53"/>
  <c r="W11" i="53"/>
  <c r="T11" i="53"/>
  <c r="R11" i="53"/>
  <c r="Q11" i="53"/>
  <c r="A11" i="53"/>
  <c r="W10" i="53"/>
  <c r="R10" i="53"/>
  <c r="Q10" i="53"/>
  <c r="A10" i="53"/>
  <c r="R9" i="53"/>
  <c r="T9" i="53" s="1"/>
  <c r="Q9" i="53"/>
  <c r="W9" i="53" s="1"/>
  <c r="A9" i="53"/>
  <c r="R7" i="53"/>
  <c r="T7" i="53" s="1"/>
  <c r="Q7" i="53"/>
  <c r="W7" i="53" s="1"/>
  <c r="A7" i="53"/>
  <c r="R6" i="53"/>
  <c r="T6" i="53" s="1"/>
  <c r="Q6" i="53"/>
  <c r="W6" i="53" s="1"/>
  <c r="A6" i="53"/>
  <c r="R5" i="53"/>
  <c r="R18" i="53" s="1"/>
  <c r="Q5" i="53"/>
  <c r="W5" i="53" s="1"/>
  <c r="A5" i="53"/>
  <c r="J3" i="53"/>
  <c r="P3" i="53"/>
  <c r="P31" i="52"/>
  <c r="O31" i="52"/>
  <c r="N31" i="52"/>
  <c r="M31" i="52"/>
  <c r="L31" i="52"/>
  <c r="K31" i="52"/>
  <c r="J31" i="52"/>
  <c r="I31" i="52"/>
  <c r="H31" i="52"/>
  <c r="G31" i="52"/>
  <c r="F31" i="52"/>
  <c r="E31" i="52"/>
  <c r="D31" i="52"/>
  <c r="C31" i="52"/>
  <c r="W30" i="52"/>
  <c r="T30" i="52"/>
  <c r="R30" i="52"/>
  <c r="Q30" i="52"/>
  <c r="A30" i="52"/>
  <c r="W28" i="52"/>
  <c r="T28" i="52"/>
  <c r="R28" i="52"/>
  <c r="Q28" i="52"/>
  <c r="A28" i="52"/>
  <c r="W27" i="52"/>
  <c r="T27" i="52"/>
  <c r="R27" i="52"/>
  <c r="Q27" i="52"/>
  <c r="A27" i="52"/>
  <c r="W26" i="52"/>
  <c r="T26" i="52"/>
  <c r="R26" i="52"/>
  <c r="Q26" i="52"/>
  <c r="A26" i="52"/>
  <c r="W24" i="52"/>
  <c r="R24" i="52"/>
  <c r="R31" i="52" s="1"/>
  <c r="Q24" i="52"/>
  <c r="A24" i="52"/>
  <c r="R23" i="52"/>
  <c r="T23" i="52" s="1"/>
  <c r="Q23" i="52"/>
  <c r="W23" i="52" s="1"/>
  <c r="A23" i="52"/>
  <c r="R22" i="52"/>
  <c r="T22" i="52" s="1"/>
  <c r="Q22" i="52"/>
  <c r="W22" i="52" s="1"/>
  <c r="A22" i="52"/>
  <c r="R20" i="52"/>
  <c r="T20" i="52" s="1"/>
  <c r="Q20" i="52"/>
  <c r="A20" i="52"/>
  <c r="P18" i="52"/>
  <c r="P33" i="52" s="1"/>
  <c r="O18" i="52"/>
  <c r="O33" i="52" s="1"/>
  <c r="N18" i="52"/>
  <c r="N33" i="52" s="1"/>
  <c r="M18" i="52"/>
  <c r="M33" i="52" s="1"/>
  <c r="L18" i="52"/>
  <c r="L33" i="52" s="1"/>
  <c r="K18" i="52"/>
  <c r="K33" i="52" s="1"/>
  <c r="J18" i="52"/>
  <c r="J33" i="52" s="1"/>
  <c r="I18" i="52"/>
  <c r="I33" i="52" s="1"/>
  <c r="H18" i="52"/>
  <c r="H33" i="52" s="1"/>
  <c r="G18" i="52"/>
  <c r="G33" i="52" s="1"/>
  <c r="F18" i="52"/>
  <c r="F33" i="52" s="1"/>
  <c r="E18" i="52"/>
  <c r="E33" i="52" s="1"/>
  <c r="D18" i="52"/>
  <c r="D33" i="52" s="1"/>
  <c r="C18" i="52"/>
  <c r="C33" i="52" s="1"/>
  <c r="R17" i="52"/>
  <c r="T17" i="52" s="1"/>
  <c r="Q17" i="52"/>
  <c r="W17" i="52" s="1"/>
  <c r="A17" i="52"/>
  <c r="R15" i="52"/>
  <c r="T15" i="52" s="1"/>
  <c r="Q15" i="52"/>
  <c r="W15" i="52" s="1"/>
  <c r="A15" i="52"/>
  <c r="R14" i="52"/>
  <c r="T14" i="52" s="1"/>
  <c r="Q14" i="52"/>
  <c r="W14" i="52" s="1"/>
  <c r="A14" i="52"/>
  <c r="T12" i="52"/>
  <c r="R12" i="52"/>
  <c r="Q12" i="52"/>
  <c r="W12" i="52" s="1"/>
  <c r="A12" i="52"/>
  <c r="W11" i="52"/>
  <c r="T11" i="52"/>
  <c r="R11" i="52"/>
  <c r="Q11" i="52"/>
  <c r="A11" i="52"/>
  <c r="W10" i="52"/>
  <c r="T10" i="52"/>
  <c r="R10" i="52"/>
  <c r="Q10" i="52"/>
  <c r="A10" i="52"/>
  <c r="W9" i="52"/>
  <c r="T9" i="52"/>
  <c r="R9" i="52"/>
  <c r="Q9" i="52"/>
  <c r="A9" i="52"/>
  <c r="R7" i="52"/>
  <c r="T7" i="52" s="1"/>
  <c r="Q7" i="52"/>
  <c r="W7" i="52" s="1"/>
  <c r="A7" i="52"/>
  <c r="R6" i="52"/>
  <c r="T6" i="52" s="1"/>
  <c r="Q6" i="52"/>
  <c r="W6" i="52" s="1"/>
  <c r="A6" i="52"/>
  <c r="R5" i="52"/>
  <c r="R18" i="52" s="1"/>
  <c r="Q5" i="52"/>
  <c r="W5" i="52" s="1"/>
  <c r="A5" i="52"/>
  <c r="O3" i="52"/>
  <c r="P31" i="51"/>
  <c r="O31" i="51"/>
  <c r="N31" i="51"/>
  <c r="M31" i="51"/>
  <c r="L31" i="51"/>
  <c r="K31" i="51"/>
  <c r="J31" i="51"/>
  <c r="I31" i="51"/>
  <c r="H31" i="51"/>
  <c r="G31" i="51"/>
  <c r="F31" i="51"/>
  <c r="E31" i="51"/>
  <c r="D31" i="51"/>
  <c r="C31" i="51"/>
  <c r="W30" i="51"/>
  <c r="T30" i="51"/>
  <c r="R30" i="51"/>
  <c r="Q30" i="51"/>
  <c r="A30" i="51"/>
  <c r="W28" i="51"/>
  <c r="T28" i="51"/>
  <c r="R28" i="51"/>
  <c r="Q28" i="51"/>
  <c r="A28" i="51"/>
  <c r="W27" i="51"/>
  <c r="R27" i="51"/>
  <c r="T27" i="51" s="1"/>
  <c r="Q27" i="51"/>
  <c r="A27" i="51"/>
  <c r="R26" i="51"/>
  <c r="T26" i="51" s="1"/>
  <c r="Q26" i="51"/>
  <c r="W26" i="51" s="1"/>
  <c r="A26" i="51"/>
  <c r="T24" i="51"/>
  <c r="R24" i="51"/>
  <c r="Q24" i="51"/>
  <c r="W24" i="51" s="1"/>
  <c r="A24" i="51"/>
  <c r="W23" i="51"/>
  <c r="R23" i="51"/>
  <c r="T23" i="51" s="1"/>
  <c r="Q23" i="51"/>
  <c r="A23" i="51"/>
  <c r="R22" i="51"/>
  <c r="T22" i="51" s="1"/>
  <c r="Q22" i="51"/>
  <c r="W22" i="51" s="1"/>
  <c r="A22" i="51"/>
  <c r="W20" i="51"/>
  <c r="R20" i="51"/>
  <c r="T20" i="51" s="1"/>
  <c r="T31" i="51" s="1"/>
  <c r="Q20" i="51"/>
  <c r="A20" i="51"/>
  <c r="P18" i="51"/>
  <c r="P33" i="51" s="1"/>
  <c r="O18" i="51"/>
  <c r="O33" i="51" s="1"/>
  <c r="N18" i="51"/>
  <c r="N33" i="51" s="1"/>
  <c r="M18" i="51"/>
  <c r="M33" i="51" s="1"/>
  <c r="L18" i="51"/>
  <c r="L33" i="51" s="1"/>
  <c r="K18" i="51"/>
  <c r="K33" i="51" s="1"/>
  <c r="J18" i="51"/>
  <c r="J33" i="51" s="1"/>
  <c r="I18" i="51"/>
  <c r="I33" i="51" s="1"/>
  <c r="H18" i="51"/>
  <c r="H33" i="51" s="1"/>
  <c r="G18" i="51"/>
  <c r="G33" i="51" s="1"/>
  <c r="F18" i="51"/>
  <c r="F33" i="51" s="1"/>
  <c r="E18" i="51"/>
  <c r="E33" i="51" s="1"/>
  <c r="D18" i="51"/>
  <c r="D33" i="51" s="1"/>
  <c r="C18" i="51"/>
  <c r="C33" i="51" s="1"/>
  <c r="R17" i="51"/>
  <c r="T17" i="51" s="1"/>
  <c r="Q17" i="51"/>
  <c r="W17" i="51" s="1"/>
  <c r="A17" i="51"/>
  <c r="R15" i="51"/>
  <c r="T15" i="51" s="1"/>
  <c r="Q15" i="51"/>
  <c r="W15" i="51" s="1"/>
  <c r="A15" i="51"/>
  <c r="W14" i="51"/>
  <c r="R14" i="51"/>
  <c r="T14" i="51" s="1"/>
  <c r="Q14" i="51"/>
  <c r="A14" i="51"/>
  <c r="W12" i="51"/>
  <c r="T12" i="51"/>
  <c r="R12" i="51"/>
  <c r="Q12" i="51"/>
  <c r="A12" i="51"/>
  <c r="W11" i="51"/>
  <c r="T11" i="51"/>
  <c r="R11" i="51"/>
  <c r="Q11" i="51"/>
  <c r="A11" i="51"/>
  <c r="W10" i="51"/>
  <c r="R10" i="51"/>
  <c r="T10" i="51" s="1"/>
  <c r="Q10" i="51"/>
  <c r="A10" i="51"/>
  <c r="R9" i="51"/>
  <c r="T9" i="51" s="1"/>
  <c r="Q9" i="51"/>
  <c r="W9" i="51" s="1"/>
  <c r="A9" i="51"/>
  <c r="T7" i="51"/>
  <c r="R7" i="51"/>
  <c r="Q7" i="51"/>
  <c r="W7" i="51" s="1"/>
  <c r="A7" i="51"/>
  <c r="R6" i="51"/>
  <c r="T6" i="51" s="1"/>
  <c r="Q6" i="51"/>
  <c r="W6" i="51" s="1"/>
  <c r="A6" i="51"/>
  <c r="R5" i="51"/>
  <c r="R18" i="51" s="1"/>
  <c r="Q5" i="51"/>
  <c r="W5" i="51" s="1"/>
  <c r="A5" i="51"/>
  <c r="I3" i="51"/>
  <c r="O3" i="51"/>
  <c r="P31" i="50"/>
  <c r="O31" i="50"/>
  <c r="N31" i="50"/>
  <c r="M31" i="50"/>
  <c r="L31" i="50"/>
  <c r="K31" i="50"/>
  <c r="J31" i="50"/>
  <c r="I31" i="50"/>
  <c r="H31" i="50"/>
  <c r="G31" i="50"/>
  <c r="F31" i="50"/>
  <c r="E31" i="50"/>
  <c r="D31" i="50"/>
  <c r="C31" i="50"/>
  <c r="W30" i="50"/>
  <c r="T30" i="50"/>
  <c r="R30" i="50"/>
  <c r="Q30" i="50"/>
  <c r="A30" i="50"/>
  <c r="W28" i="50"/>
  <c r="T28" i="50"/>
  <c r="R28" i="50"/>
  <c r="Q28" i="50"/>
  <c r="A28" i="50"/>
  <c r="W27" i="50"/>
  <c r="R27" i="50"/>
  <c r="T27" i="50" s="1"/>
  <c r="Q27" i="50"/>
  <c r="A27" i="50"/>
  <c r="R26" i="50"/>
  <c r="T26" i="50" s="1"/>
  <c r="Q26" i="50"/>
  <c r="W26" i="50" s="1"/>
  <c r="A26" i="50"/>
  <c r="T24" i="50"/>
  <c r="R24" i="50"/>
  <c r="Q24" i="50"/>
  <c r="W24" i="50" s="1"/>
  <c r="A24" i="50"/>
  <c r="W23" i="50"/>
  <c r="R23" i="50"/>
  <c r="T23" i="50" s="1"/>
  <c r="Q23" i="50"/>
  <c r="A23" i="50"/>
  <c r="R22" i="50"/>
  <c r="T22" i="50" s="1"/>
  <c r="Q22" i="50"/>
  <c r="W22" i="50" s="1"/>
  <c r="A22" i="50"/>
  <c r="W20" i="50"/>
  <c r="R20" i="50"/>
  <c r="T20" i="50" s="1"/>
  <c r="Q20" i="50"/>
  <c r="A20" i="50"/>
  <c r="P18" i="50"/>
  <c r="P33" i="50" s="1"/>
  <c r="O18" i="50"/>
  <c r="O33" i="50" s="1"/>
  <c r="N18" i="50"/>
  <c r="N33" i="50" s="1"/>
  <c r="M18" i="50"/>
  <c r="M33" i="50" s="1"/>
  <c r="L18" i="50"/>
  <c r="L33" i="50" s="1"/>
  <c r="K18" i="50"/>
  <c r="K33" i="50" s="1"/>
  <c r="J18" i="50"/>
  <c r="J33" i="50" s="1"/>
  <c r="I18" i="50"/>
  <c r="I33" i="50" s="1"/>
  <c r="H18" i="50"/>
  <c r="H33" i="50" s="1"/>
  <c r="G18" i="50"/>
  <c r="G33" i="50" s="1"/>
  <c r="F18" i="50"/>
  <c r="F33" i="50" s="1"/>
  <c r="E18" i="50"/>
  <c r="E33" i="50" s="1"/>
  <c r="D18" i="50"/>
  <c r="D33" i="50" s="1"/>
  <c r="C18" i="50"/>
  <c r="C33" i="50" s="1"/>
  <c r="R17" i="50"/>
  <c r="T17" i="50" s="1"/>
  <c r="Q17" i="50"/>
  <c r="W17" i="50" s="1"/>
  <c r="A17" i="50"/>
  <c r="R15" i="50"/>
  <c r="T15" i="50" s="1"/>
  <c r="Q15" i="50"/>
  <c r="W15" i="50" s="1"/>
  <c r="A15" i="50"/>
  <c r="W14" i="50"/>
  <c r="R14" i="50"/>
  <c r="T14" i="50" s="1"/>
  <c r="Q14" i="50"/>
  <c r="A14" i="50"/>
  <c r="W12" i="50"/>
  <c r="T12" i="50"/>
  <c r="R12" i="50"/>
  <c r="Q12" i="50"/>
  <c r="W11" i="50"/>
  <c r="T11" i="50"/>
  <c r="R11" i="50"/>
  <c r="Q11" i="50"/>
  <c r="W10" i="50"/>
  <c r="R10" i="50"/>
  <c r="T10" i="50" s="1"/>
  <c r="Q10" i="50"/>
  <c r="R9" i="50"/>
  <c r="T9" i="50" s="1"/>
  <c r="Q9" i="50"/>
  <c r="W9" i="50" s="1"/>
  <c r="R7" i="50"/>
  <c r="T7" i="50" s="1"/>
  <c r="Q7" i="50"/>
  <c r="W7" i="50" s="1"/>
  <c r="A7" i="50"/>
  <c r="R6" i="50"/>
  <c r="T6" i="50" s="1"/>
  <c r="Q6" i="50"/>
  <c r="W6" i="50" s="1"/>
  <c r="A6" i="50"/>
  <c r="R5" i="50"/>
  <c r="R18" i="50" s="1"/>
  <c r="Q5" i="50"/>
  <c r="W5" i="50" s="1"/>
  <c r="A5" i="50"/>
  <c r="O3" i="50"/>
  <c r="P31" i="49"/>
  <c r="O31" i="49"/>
  <c r="N31" i="49"/>
  <c r="M31" i="49"/>
  <c r="L31" i="49"/>
  <c r="K31" i="49"/>
  <c r="J31" i="49"/>
  <c r="I31" i="49"/>
  <c r="H31" i="49"/>
  <c r="G31" i="49"/>
  <c r="F31" i="49"/>
  <c r="E31" i="49"/>
  <c r="D31" i="49"/>
  <c r="C31" i="49"/>
  <c r="T30" i="49"/>
  <c r="R30" i="49"/>
  <c r="Q30" i="49"/>
  <c r="W30" i="49" s="1"/>
  <c r="A30" i="49"/>
  <c r="W28" i="49"/>
  <c r="T28" i="49"/>
  <c r="R28" i="49"/>
  <c r="Q28" i="49"/>
  <c r="A28" i="49"/>
  <c r="W27" i="49"/>
  <c r="R27" i="49"/>
  <c r="T27" i="49" s="1"/>
  <c r="Q27" i="49"/>
  <c r="A27" i="49"/>
  <c r="R26" i="49"/>
  <c r="T26" i="49" s="1"/>
  <c r="Q26" i="49"/>
  <c r="W26" i="49" s="1"/>
  <c r="A26" i="49"/>
  <c r="W24" i="49"/>
  <c r="T24" i="49"/>
  <c r="R24" i="49"/>
  <c r="Q24" i="49"/>
  <c r="A24" i="49"/>
  <c r="W23" i="49"/>
  <c r="T23" i="49"/>
  <c r="R23" i="49"/>
  <c r="Q23" i="49"/>
  <c r="A23" i="49"/>
  <c r="R22" i="49"/>
  <c r="T22" i="49" s="1"/>
  <c r="Q22" i="49"/>
  <c r="W22" i="49" s="1"/>
  <c r="A22" i="49"/>
  <c r="W20" i="49"/>
  <c r="R20" i="49"/>
  <c r="T20" i="49" s="1"/>
  <c r="Q20" i="49"/>
  <c r="A20" i="49"/>
  <c r="P18" i="49"/>
  <c r="P33" i="49" s="1"/>
  <c r="O18" i="49"/>
  <c r="O33" i="49" s="1"/>
  <c r="N18" i="49"/>
  <c r="N33" i="49" s="1"/>
  <c r="M18" i="49"/>
  <c r="M33" i="49" s="1"/>
  <c r="L18" i="49"/>
  <c r="L33" i="49" s="1"/>
  <c r="K18" i="49"/>
  <c r="K33" i="49" s="1"/>
  <c r="J18" i="49"/>
  <c r="J33" i="49" s="1"/>
  <c r="I18" i="49"/>
  <c r="I33" i="49" s="1"/>
  <c r="H18" i="49"/>
  <c r="H33" i="49" s="1"/>
  <c r="G18" i="49"/>
  <c r="G33" i="49" s="1"/>
  <c r="F18" i="49"/>
  <c r="F33" i="49" s="1"/>
  <c r="E18" i="49"/>
  <c r="E33" i="49" s="1"/>
  <c r="D18" i="49"/>
  <c r="D33" i="49" s="1"/>
  <c r="C18" i="49"/>
  <c r="C33" i="49" s="1"/>
  <c r="R17" i="49"/>
  <c r="T17" i="49" s="1"/>
  <c r="Q17" i="49"/>
  <c r="W17" i="49" s="1"/>
  <c r="A17" i="49"/>
  <c r="R15" i="49"/>
  <c r="T15" i="49" s="1"/>
  <c r="Q15" i="49"/>
  <c r="W15" i="49" s="1"/>
  <c r="A15" i="49"/>
  <c r="W14" i="49"/>
  <c r="R14" i="49"/>
  <c r="T14" i="49" s="1"/>
  <c r="Q14" i="49"/>
  <c r="A14" i="49"/>
  <c r="T12" i="49"/>
  <c r="R12" i="49"/>
  <c r="Q12" i="49"/>
  <c r="W12" i="49" s="1"/>
  <c r="A12" i="49"/>
  <c r="W11" i="49"/>
  <c r="T11" i="49"/>
  <c r="R11" i="49"/>
  <c r="Q11" i="49"/>
  <c r="A11" i="49"/>
  <c r="W10" i="49"/>
  <c r="R10" i="49"/>
  <c r="T10" i="49" s="1"/>
  <c r="Q10" i="49"/>
  <c r="A10" i="49"/>
  <c r="R9" i="49"/>
  <c r="T9" i="49" s="1"/>
  <c r="Q9" i="49"/>
  <c r="W9" i="49" s="1"/>
  <c r="A9" i="49"/>
  <c r="W7" i="49"/>
  <c r="T7" i="49"/>
  <c r="R7" i="49"/>
  <c r="Q7" i="49"/>
  <c r="A7" i="49"/>
  <c r="T6" i="49"/>
  <c r="R6" i="49"/>
  <c r="Q6" i="49"/>
  <c r="W6" i="49" s="1"/>
  <c r="A6" i="49"/>
  <c r="R5" i="49"/>
  <c r="R18" i="49" s="1"/>
  <c r="Q5" i="49"/>
  <c r="W5" i="49" s="1"/>
  <c r="A5" i="49"/>
  <c r="M3" i="49"/>
  <c r="E3" i="49"/>
  <c r="O3" i="49"/>
  <c r="P31" i="48"/>
  <c r="O31" i="48"/>
  <c r="N31" i="48"/>
  <c r="M31" i="48"/>
  <c r="L31" i="48"/>
  <c r="K31" i="48"/>
  <c r="J31" i="48"/>
  <c r="I31" i="48"/>
  <c r="H31" i="48"/>
  <c r="G31" i="48"/>
  <c r="F31" i="48"/>
  <c r="E31" i="48"/>
  <c r="D31" i="48"/>
  <c r="C31" i="48"/>
  <c r="W30" i="48"/>
  <c r="T30" i="48"/>
  <c r="R30" i="48"/>
  <c r="Q30" i="48"/>
  <c r="A30" i="48"/>
  <c r="W28" i="48"/>
  <c r="T28" i="48"/>
  <c r="R28" i="48"/>
  <c r="Q28" i="48"/>
  <c r="A28" i="48"/>
  <c r="W27" i="48"/>
  <c r="R27" i="48"/>
  <c r="T27" i="48" s="1"/>
  <c r="Q27" i="48"/>
  <c r="A27" i="48"/>
  <c r="R26" i="48"/>
  <c r="T26" i="48" s="1"/>
  <c r="Q26" i="48"/>
  <c r="W26" i="48" s="1"/>
  <c r="A26" i="48"/>
  <c r="R24" i="48"/>
  <c r="T24" i="48" s="1"/>
  <c r="Q24" i="48"/>
  <c r="W24" i="48" s="1"/>
  <c r="A24" i="48"/>
  <c r="R23" i="48"/>
  <c r="T23" i="48" s="1"/>
  <c r="Q23" i="48"/>
  <c r="W23" i="48" s="1"/>
  <c r="A23" i="48"/>
  <c r="W22" i="48"/>
  <c r="R22" i="48"/>
  <c r="T22" i="48" s="1"/>
  <c r="Q22" i="48"/>
  <c r="A22" i="48"/>
  <c r="W20" i="48"/>
  <c r="T20" i="48"/>
  <c r="R20" i="48"/>
  <c r="Q20" i="48"/>
  <c r="A20" i="48"/>
  <c r="P18" i="48"/>
  <c r="P33" i="48" s="1"/>
  <c r="O18" i="48"/>
  <c r="O33" i="48" s="1"/>
  <c r="N18" i="48"/>
  <c r="N33" i="48" s="1"/>
  <c r="M18" i="48"/>
  <c r="M33" i="48" s="1"/>
  <c r="L18" i="48"/>
  <c r="L33" i="48" s="1"/>
  <c r="K18" i="48"/>
  <c r="K33" i="48" s="1"/>
  <c r="J18" i="48"/>
  <c r="J33" i="48" s="1"/>
  <c r="I18" i="48"/>
  <c r="I33" i="48" s="1"/>
  <c r="H18" i="48"/>
  <c r="H33" i="48" s="1"/>
  <c r="G18" i="48"/>
  <c r="G33" i="48" s="1"/>
  <c r="F18" i="48"/>
  <c r="F33" i="48" s="1"/>
  <c r="E18" i="48"/>
  <c r="E33" i="48" s="1"/>
  <c r="D18" i="48"/>
  <c r="D33" i="48" s="1"/>
  <c r="C18" i="48"/>
  <c r="C33" i="48" s="1"/>
  <c r="R17" i="48"/>
  <c r="T17" i="48" s="1"/>
  <c r="Q17" i="48"/>
  <c r="W17" i="48" s="1"/>
  <c r="A17" i="48"/>
  <c r="R15" i="48"/>
  <c r="T15" i="48" s="1"/>
  <c r="Q15" i="48"/>
  <c r="W15" i="48" s="1"/>
  <c r="A15" i="48"/>
  <c r="W14" i="48"/>
  <c r="T14" i="48"/>
  <c r="R14" i="48"/>
  <c r="Q14" i="48"/>
  <c r="A14" i="48"/>
  <c r="W12" i="48"/>
  <c r="T12" i="48"/>
  <c r="R12" i="48"/>
  <c r="Q12" i="48"/>
  <c r="A12" i="48"/>
  <c r="W11" i="48"/>
  <c r="T11" i="48"/>
  <c r="R11" i="48"/>
  <c r="Q11" i="48"/>
  <c r="A11" i="48"/>
  <c r="W10" i="48"/>
  <c r="R10" i="48"/>
  <c r="T10" i="48" s="1"/>
  <c r="Q10" i="48"/>
  <c r="A10" i="48"/>
  <c r="R9" i="48"/>
  <c r="T9" i="48" s="1"/>
  <c r="Q9" i="48"/>
  <c r="W9" i="48" s="1"/>
  <c r="A9" i="48"/>
  <c r="R7" i="48"/>
  <c r="T7" i="48" s="1"/>
  <c r="Q7" i="48"/>
  <c r="W7" i="48" s="1"/>
  <c r="A7" i="48"/>
  <c r="T6" i="48"/>
  <c r="R6" i="48"/>
  <c r="Q6" i="48"/>
  <c r="W6" i="48" s="1"/>
  <c r="A6" i="48"/>
  <c r="R5" i="48"/>
  <c r="Q5" i="48"/>
  <c r="W5" i="48" s="1"/>
  <c r="A5" i="48"/>
  <c r="M3" i="48"/>
  <c r="I3" i="48"/>
  <c r="E3" i="48"/>
  <c r="O3" i="48"/>
  <c r="P31" i="47"/>
  <c r="O31" i="47"/>
  <c r="N31" i="47"/>
  <c r="M31" i="47"/>
  <c r="L31" i="47"/>
  <c r="K31" i="47"/>
  <c r="J31" i="47"/>
  <c r="I31" i="47"/>
  <c r="H31" i="47"/>
  <c r="G31" i="47"/>
  <c r="F31" i="47"/>
  <c r="E31" i="47"/>
  <c r="D31" i="47"/>
  <c r="C31" i="47"/>
  <c r="W30" i="47"/>
  <c r="T30" i="47"/>
  <c r="R30" i="47"/>
  <c r="Q30" i="47"/>
  <c r="A30" i="47"/>
  <c r="W28" i="47"/>
  <c r="T28" i="47"/>
  <c r="R28" i="47"/>
  <c r="Q28" i="47"/>
  <c r="A28" i="47"/>
  <c r="W27" i="47"/>
  <c r="R27" i="47"/>
  <c r="R31" i="47" s="1"/>
  <c r="Q27" i="47"/>
  <c r="A27" i="47"/>
  <c r="R26" i="47"/>
  <c r="T26" i="47" s="1"/>
  <c r="Q26" i="47"/>
  <c r="W26" i="47" s="1"/>
  <c r="A26" i="47"/>
  <c r="R24" i="47"/>
  <c r="T24" i="47" s="1"/>
  <c r="Q24" i="47"/>
  <c r="W24" i="47" s="1"/>
  <c r="A24" i="47"/>
  <c r="R23" i="47"/>
  <c r="T23" i="47" s="1"/>
  <c r="Q23" i="47"/>
  <c r="W23" i="47" s="1"/>
  <c r="A23" i="47"/>
  <c r="R22" i="47"/>
  <c r="T22" i="47" s="1"/>
  <c r="Q22" i="47"/>
  <c r="W22" i="47" s="1"/>
  <c r="A22" i="47"/>
  <c r="W20" i="47"/>
  <c r="R20" i="47"/>
  <c r="T20" i="47" s="1"/>
  <c r="Q20" i="47"/>
  <c r="A20" i="47"/>
  <c r="P18" i="47"/>
  <c r="P33" i="47" s="1"/>
  <c r="O18" i="47"/>
  <c r="O33" i="47" s="1"/>
  <c r="N18" i="47"/>
  <c r="N33" i="47" s="1"/>
  <c r="M18" i="47"/>
  <c r="M33" i="47" s="1"/>
  <c r="L18" i="47"/>
  <c r="L33" i="47" s="1"/>
  <c r="K18" i="47"/>
  <c r="K33" i="47" s="1"/>
  <c r="J18" i="47"/>
  <c r="J33" i="47" s="1"/>
  <c r="I18" i="47"/>
  <c r="I33" i="47" s="1"/>
  <c r="H18" i="47"/>
  <c r="H33" i="47" s="1"/>
  <c r="G18" i="47"/>
  <c r="G33" i="47" s="1"/>
  <c r="F18" i="47"/>
  <c r="F33" i="47" s="1"/>
  <c r="E18" i="47"/>
  <c r="E33" i="47" s="1"/>
  <c r="D18" i="47"/>
  <c r="D33" i="47" s="1"/>
  <c r="L108" i="5" s="1"/>
  <c r="O108" i="5" s="1"/>
  <c r="C18" i="47"/>
  <c r="C33" i="47" s="1"/>
  <c r="R17" i="47"/>
  <c r="T17" i="47" s="1"/>
  <c r="Q17" i="47"/>
  <c r="W17" i="47" s="1"/>
  <c r="A17" i="47"/>
  <c r="R15" i="47"/>
  <c r="T15" i="47" s="1"/>
  <c r="Q15" i="47"/>
  <c r="W15" i="47" s="1"/>
  <c r="A15" i="47"/>
  <c r="W14" i="47"/>
  <c r="R14" i="47"/>
  <c r="T14" i="47" s="1"/>
  <c r="Q14" i="47"/>
  <c r="A14" i="47"/>
  <c r="W12" i="47"/>
  <c r="T12" i="47"/>
  <c r="R12" i="47"/>
  <c r="Q12" i="47"/>
  <c r="A12" i="47"/>
  <c r="W11" i="47"/>
  <c r="T11" i="47"/>
  <c r="R11" i="47"/>
  <c r="Q11" i="47"/>
  <c r="A11" i="47"/>
  <c r="W10" i="47"/>
  <c r="R10" i="47"/>
  <c r="T10" i="47" s="1"/>
  <c r="Q10" i="47"/>
  <c r="A10" i="47"/>
  <c r="R9" i="47"/>
  <c r="T9" i="47" s="1"/>
  <c r="Q9" i="47"/>
  <c r="W9" i="47" s="1"/>
  <c r="A9" i="47"/>
  <c r="R7" i="47"/>
  <c r="T7" i="47" s="1"/>
  <c r="Q7" i="47"/>
  <c r="W7" i="47" s="1"/>
  <c r="A7" i="47"/>
  <c r="R6" i="47"/>
  <c r="T6" i="47" s="1"/>
  <c r="Q6" i="47"/>
  <c r="W6" i="47" s="1"/>
  <c r="A6" i="47"/>
  <c r="R5" i="47"/>
  <c r="R18" i="47" s="1"/>
  <c r="Q5" i="47"/>
  <c r="W5" i="47" s="1"/>
  <c r="A5" i="47"/>
  <c r="O3" i="47"/>
  <c r="P31" i="46"/>
  <c r="O31" i="46"/>
  <c r="N31" i="46"/>
  <c r="M31" i="46"/>
  <c r="L31" i="46"/>
  <c r="K31" i="46"/>
  <c r="J31" i="46"/>
  <c r="I31" i="46"/>
  <c r="H31" i="46"/>
  <c r="G31" i="46"/>
  <c r="F31" i="46"/>
  <c r="E31" i="46"/>
  <c r="D31" i="46"/>
  <c r="C31" i="46"/>
  <c r="W30" i="46"/>
  <c r="T30" i="46"/>
  <c r="R30" i="46"/>
  <c r="Q30" i="46"/>
  <c r="A30" i="46"/>
  <c r="W28" i="46"/>
  <c r="T28" i="46"/>
  <c r="R28" i="46"/>
  <c r="Q28" i="46"/>
  <c r="A28" i="46"/>
  <c r="W27" i="46"/>
  <c r="R27" i="46"/>
  <c r="T27" i="46" s="1"/>
  <c r="Q27" i="46"/>
  <c r="A27" i="46"/>
  <c r="T26" i="46"/>
  <c r="R26" i="46"/>
  <c r="Q26" i="46"/>
  <c r="W26" i="46" s="1"/>
  <c r="A26" i="46"/>
  <c r="T24" i="46"/>
  <c r="R24" i="46"/>
  <c r="Q24" i="46"/>
  <c r="W24" i="46" s="1"/>
  <c r="A24" i="46"/>
  <c r="W23" i="46"/>
  <c r="R23" i="46"/>
  <c r="T23" i="46" s="1"/>
  <c r="Q23" i="46"/>
  <c r="A23" i="46"/>
  <c r="R22" i="46"/>
  <c r="T22" i="46" s="1"/>
  <c r="Q22" i="46"/>
  <c r="W22" i="46" s="1"/>
  <c r="A22" i="46"/>
  <c r="W20" i="46"/>
  <c r="R20" i="46"/>
  <c r="T20" i="46" s="1"/>
  <c r="T31" i="46" s="1"/>
  <c r="Q20" i="46"/>
  <c r="A20" i="46"/>
  <c r="P18" i="46"/>
  <c r="P33" i="46" s="1"/>
  <c r="O18" i="46"/>
  <c r="O33" i="46" s="1"/>
  <c r="N18" i="46"/>
  <c r="N33" i="46" s="1"/>
  <c r="M18" i="46"/>
  <c r="M33" i="46" s="1"/>
  <c r="L18" i="46"/>
  <c r="L33" i="46" s="1"/>
  <c r="K18" i="46"/>
  <c r="K33" i="46" s="1"/>
  <c r="J18" i="46"/>
  <c r="J33" i="46" s="1"/>
  <c r="I18" i="46"/>
  <c r="I33" i="46" s="1"/>
  <c r="H18" i="46"/>
  <c r="H33" i="46" s="1"/>
  <c r="G18" i="46"/>
  <c r="G33" i="46" s="1"/>
  <c r="F18" i="46"/>
  <c r="F33" i="46" s="1"/>
  <c r="E18" i="46"/>
  <c r="E33" i="46" s="1"/>
  <c r="D18" i="46"/>
  <c r="D33" i="46" s="1"/>
  <c r="C18" i="46"/>
  <c r="C33" i="46" s="1"/>
  <c r="R17" i="46"/>
  <c r="T17" i="46" s="1"/>
  <c r="Q17" i="46"/>
  <c r="W17" i="46" s="1"/>
  <c r="A17" i="46"/>
  <c r="R15" i="46"/>
  <c r="T15" i="46" s="1"/>
  <c r="Q15" i="46"/>
  <c r="W15" i="46" s="1"/>
  <c r="A15" i="46"/>
  <c r="W14" i="46"/>
  <c r="R14" i="46"/>
  <c r="T14" i="46" s="1"/>
  <c r="Q14" i="46"/>
  <c r="A14" i="46"/>
  <c r="W12" i="46"/>
  <c r="T12" i="46"/>
  <c r="R12" i="46"/>
  <c r="Q12" i="46"/>
  <c r="A12" i="46"/>
  <c r="W11" i="46"/>
  <c r="T11" i="46"/>
  <c r="R11" i="46"/>
  <c r="Q11" i="46"/>
  <c r="A11" i="46"/>
  <c r="W10" i="46"/>
  <c r="R10" i="46"/>
  <c r="T10" i="46" s="1"/>
  <c r="Q10" i="46"/>
  <c r="A10" i="46"/>
  <c r="R9" i="46"/>
  <c r="T9" i="46" s="1"/>
  <c r="Q9" i="46"/>
  <c r="W9" i="46" s="1"/>
  <c r="A9" i="46"/>
  <c r="T7" i="46"/>
  <c r="R7" i="46"/>
  <c r="Q7" i="46"/>
  <c r="W7" i="46" s="1"/>
  <c r="A7" i="46"/>
  <c r="R6" i="46"/>
  <c r="T6" i="46" s="1"/>
  <c r="Q6" i="46"/>
  <c r="W6" i="46" s="1"/>
  <c r="A6" i="46"/>
  <c r="R5" i="46"/>
  <c r="R18" i="46" s="1"/>
  <c r="Q5" i="46"/>
  <c r="W5" i="46" s="1"/>
  <c r="A5" i="46"/>
  <c r="O3" i="46"/>
  <c r="P31" i="45"/>
  <c r="O31" i="45"/>
  <c r="N31" i="45"/>
  <c r="M31" i="45"/>
  <c r="L31" i="45"/>
  <c r="K31" i="45"/>
  <c r="J31" i="45"/>
  <c r="I31" i="45"/>
  <c r="H31" i="45"/>
  <c r="G31" i="45"/>
  <c r="F31" i="45"/>
  <c r="E31" i="45"/>
  <c r="D31" i="45"/>
  <c r="C31" i="45"/>
  <c r="W30" i="45"/>
  <c r="T30" i="45"/>
  <c r="R30" i="45"/>
  <c r="Q30" i="45"/>
  <c r="A30" i="45"/>
  <c r="W28" i="45"/>
  <c r="T28" i="45"/>
  <c r="R28" i="45"/>
  <c r="Q28" i="45"/>
  <c r="A28" i="45"/>
  <c r="W27" i="45"/>
  <c r="R27" i="45"/>
  <c r="T27" i="45" s="1"/>
  <c r="Q27" i="45"/>
  <c r="A27" i="45"/>
  <c r="R26" i="45"/>
  <c r="T26" i="45" s="1"/>
  <c r="Q26" i="45"/>
  <c r="W26" i="45" s="1"/>
  <c r="A26" i="45"/>
  <c r="T24" i="45"/>
  <c r="R24" i="45"/>
  <c r="Q24" i="45"/>
  <c r="W24" i="45" s="1"/>
  <c r="A24" i="45"/>
  <c r="W23" i="45"/>
  <c r="R23" i="45"/>
  <c r="T23" i="45" s="1"/>
  <c r="Q23" i="45"/>
  <c r="A23" i="45"/>
  <c r="R22" i="45"/>
  <c r="T22" i="45" s="1"/>
  <c r="Q22" i="45"/>
  <c r="W22" i="45" s="1"/>
  <c r="A22" i="45"/>
  <c r="W20" i="45"/>
  <c r="R20" i="45"/>
  <c r="T20" i="45" s="1"/>
  <c r="Q20" i="45"/>
  <c r="A20" i="45"/>
  <c r="P18" i="45"/>
  <c r="P33" i="45" s="1"/>
  <c r="O18" i="45"/>
  <c r="O33" i="45" s="1"/>
  <c r="N18" i="45"/>
  <c r="N33" i="45" s="1"/>
  <c r="M18" i="45"/>
  <c r="M33" i="45" s="1"/>
  <c r="L18" i="45"/>
  <c r="L33" i="45" s="1"/>
  <c r="K18" i="45"/>
  <c r="K33" i="45" s="1"/>
  <c r="J18" i="45"/>
  <c r="J33" i="45" s="1"/>
  <c r="I18" i="45"/>
  <c r="I33" i="45" s="1"/>
  <c r="H18" i="45"/>
  <c r="H33" i="45" s="1"/>
  <c r="G18" i="45"/>
  <c r="G33" i="45" s="1"/>
  <c r="F18" i="45"/>
  <c r="F33" i="45" s="1"/>
  <c r="E18" i="45"/>
  <c r="E33" i="45" s="1"/>
  <c r="D18" i="45"/>
  <c r="D33" i="45" s="1"/>
  <c r="C18" i="45"/>
  <c r="C33" i="45" s="1"/>
  <c r="R17" i="45"/>
  <c r="T17" i="45" s="1"/>
  <c r="Q17" i="45"/>
  <c r="W17" i="45" s="1"/>
  <c r="A17" i="45"/>
  <c r="R15" i="45"/>
  <c r="T15" i="45" s="1"/>
  <c r="Q15" i="45"/>
  <c r="W15" i="45" s="1"/>
  <c r="A15" i="45"/>
  <c r="W14" i="45"/>
  <c r="R14" i="45"/>
  <c r="T14" i="45" s="1"/>
  <c r="Q14" i="45"/>
  <c r="A14" i="45"/>
  <c r="W12" i="45"/>
  <c r="T12" i="45"/>
  <c r="R12" i="45"/>
  <c r="Q12" i="45"/>
  <c r="A12" i="45"/>
  <c r="W11" i="45"/>
  <c r="T11" i="45"/>
  <c r="R11" i="45"/>
  <c r="Q11" i="45"/>
  <c r="A11" i="45"/>
  <c r="W10" i="45"/>
  <c r="R10" i="45"/>
  <c r="T10" i="45" s="1"/>
  <c r="Q10" i="45"/>
  <c r="A10" i="45"/>
  <c r="R9" i="45"/>
  <c r="T9" i="45" s="1"/>
  <c r="Q9" i="45"/>
  <c r="W9" i="45" s="1"/>
  <c r="A9" i="45"/>
  <c r="T7" i="45"/>
  <c r="R7" i="45"/>
  <c r="Q7" i="45"/>
  <c r="W7" i="45" s="1"/>
  <c r="A7" i="45"/>
  <c r="R6" i="45"/>
  <c r="T6" i="45" s="1"/>
  <c r="Q6" i="45"/>
  <c r="W6" i="45" s="1"/>
  <c r="A6" i="45"/>
  <c r="R5" i="45"/>
  <c r="R18" i="45" s="1"/>
  <c r="Q5" i="45"/>
  <c r="W5" i="45" s="1"/>
  <c r="A5" i="45"/>
  <c r="I3" i="45"/>
  <c r="O3" i="45"/>
  <c r="P31" i="44"/>
  <c r="O31" i="44"/>
  <c r="N31" i="44"/>
  <c r="M31" i="44"/>
  <c r="L31" i="44"/>
  <c r="K31" i="44"/>
  <c r="J31" i="44"/>
  <c r="I31" i="44"/>
  <c r="H31" i="44"/>
  <c r="G31" i="44"/>
  <c r="F31" i="44"/>
  <c r="E31" i="44"/>
  <c r="D31" i="44"/>
  <c r="C31" i="44"/>
  <c r="T30" i="44"/>
  <c r="R30" i="44"/>
  <c r="Q30" i="44"/>
  <c r="W30" i="44" s="1"/>
  <c r="A30" i="44"/>
  <c r="R28" i="44"/>
  <c r="T28" i="44" s="1"/>
  <c r="Q28" i="44"/>
  <c r="W28" i="44" s="1"/>
  <c r="A28" i="44"/>
  <c r="W27" i="44"/>
  <c r="R27" i="44"/>
  <c r="T27" i="44" s="1"/>
  <c r="Q27" i="44"/>
  <c r="A27" i="44"/>
  <c r="T26" i="44"/>
  <c r="R26" i="44"/>
  <c r="Q26" i="44"/>
  <c r="W26" i="44" s="1"/>
  <c r="A26" i="44"/>
  <c r="W24" i="44"/>
  <c r="R24" i="44"/>
  <c r="T24" i="44" s="1"/>
  <c r="Q24" i="44"/>
  <c r="A24" i="44"/>
  <c r="W23" i="44"/>
  <c r="R23" i="44"/>
  <c r="T23" i="44" s="1"/>
  <c r="Q23" i="44"/>
  <c r="A23" i="44"/>
  <c r="T22" i="44"/>
  <c r="R22" i="44"/>
  <c r="Q22" i="44"/>
  <c r="W22" i="44" s="1"/>
  <c r="A22" i="44"/>
  <c r="W20" i="44"/>
  <c r="T20" i="44"/>
  <c r="R20" i="44"/>
  <c r="Q20" i="44"/>
  <c r="A20" i="44"/>
  <c r="P18" i="44"/>
  <c r="P33" i="44" s="1"/>
  <c r="O18" i="44"/>
  <c r="O33" i="44" s="1"/>
  <c r="N18" i="44"/>
  <c r="N33" i="44" s="1"/>
  <c r="M18" i="44"/>
  <c r="M33" i="44" s="1"/>
  <c r="L18" i="44"/>
  <c r="L33" i="44" s="1"/>
  <c r="K18" i="44"/>
  <c r="K33" i="44" s="1"/>
  <c r="J18" i="44"/>
  <c r="J33" i="44" s="1"/>
  <c r="I18" i="44"/>
  <c r="I33" i="44" s="1"/>
  <c r="H18" i="44"/>
  <c r="H33" i="44" s="1"/>
  <c r="G18" i="44"/>
  <c r="G33" i="44" s="1"/>
  <c r="F18" i="44"/>
  <c r="F33" i="44" s="1"/>
  <c r="E18" i="44"/>
  <c r="E33" i="44" s="1"/>
  <c r="D18" i="44"/>
  <c r="D33" i="44" s="1"/>
  <c r="C18" i="44"/>
  <c r="C33" i="44" s="1"/>
  <c r="R17" i="44"/>
  <c r="T17" i="44" s="1"/>
  <c r="Q17" i="44"/>
  <c r="W17" i="44" s="1"/>
  <c r="A17" i="44"/>
  <c r="T15" i="44"/>
  <c r="R15" i="44"/>
  <c r="Q15" i="44"/>
  <c r="W15" i="44" s="1"/>
  <c r="A15" i="44"/>
  <c r="W14" i="44"/>
  <c r="T14" i="44"/>
  <c r="R14" i="44"/>
  <c r="Q14" i="44"/>
  <c r="A14" i="44"/>
  <c r="T12" i="44"/>
  <c r="R12" i="44"/>
  <c r="Q12" i="44"/>
  <c r="W12" i="44" s="1"/>
  <c r="A12" i="44"/>
  <c r="R11" i="44"/>
  <c r="T11" i="44" s="1"/>
  <c r="Q11" i="44"/>
  <c r="W11" i="44" s="1"/>
  <c r="A11" i="44"/>
  <c r="W10" i="44"/>
  <c r="R10" i="44"/>
  <c r="T10" i="44" s="1"/>
  <c r="Q10" i="44"/>
  <c r="A10" i="44"/>
  <c r="T9" i="44"/>
  <c r="R9" i="44"/>
  <c r="Q9" i="44"/>
  <c r="W9" i="44" s="1"/>
  <c r="A9" i="44"/>
  <c r="W7" i="44"/>
  <c r="R7" i="44"/>
  <c r="T7" i="44" s="1"/>
  <c r="Q7" i="44"/>
  <c r="A7" i="44"/>
  <c r="R6" i="44"/>
  <c r="R18" i="44" s="1"/>
  <c r="Q6" i="44"/>
  <c r="Q18" i="44" s="1"/>
  <c r="A6" i="44"/>
  <c r="T5" i="44"/>
  <c r="R5" i="44"/>
  <c r="Q5" i="44"/>
  <c r="W5" i="44" s="1"/>
  <c r="A5" i="44"/>
  <c r="O3" i="44"/>
  <c r="R31" i="43"/>
  <c r="P31" i="43"/>
  <c r="O31" i="43"/>
  <c r="N31" i="43"/>
  <c r="M31" i="43"/>
  <c r="L31" i="43"/>
  <c r="K31" i="43"/>
  <c r="J31" i="43"/>
  <c r="I31" i="43"/>
  <c r="H31" i="43"/>
  <c r="G31" i="43"/>
  <c r="F31" i="43"/>
  <c r="E31" i="43"/>
  <c r="D31" i="43"/>
  <c r="C31" i="43"/>
  <c r="W30" i="43"/>
  <c r="T30" i="43"/>
  <c r="R30" i="43"/>
  <c r="Q30" i="43"/>
  <c r="A30" i="43"/>
  <c r="W28" i="43"/>
  <c r="T28" i="43"/>
  <c r="R28" i="43"/>
  <c r="Q28" i="43"/>
  <c r="A28" i="43"/>
  <c r="W27" i="43"/>
  <c r="T27" i="43"/>
  <c r="R27" i="43"/>
  <c r="Q27" i="43"/>
  <c r="A27" i="43"/>
  <c r="T26" i="43"/>
  <c r="R26" i="43"/>
  <c r="Q26" i="43"/>
  <c r="W26" i="43" s="1"/>
  <c r="A26" i="43"/>
  <c r="W24" i="43"/>
  <c r="R24" i="43"/>
  <c r="T24" i="43" s="1"/>
  <c r="Q24" i="43"/>
  <c r="A24" i="43"/>
  <c r="R23" i="43"/>
  <c r="T23" i="43" s="1"/>
  <c r="Q23" i="43"/>
  <c r="W23" i="43" s="1"/>
  <c r="A23" i="43"/>
  <c r="R22" i="43"/>
  <c r="T22" i="43" s="1"/>
  <c r="Q22" i="43"/>
  <c r="W22" i="43" s="1"/>
  <c r="A22" i="43"/>
  <c r="W20" i="43"/>
  <c r="R20" i="43"/>
  <c r="T20" i="43" s="1"/>
  <c r="Q20" i="43"/>
  <c r="A20" i="43"/>
  <c r="P18" i="43"/>
  <c r="P33" i="43" s="1"/>
  <c r="O18" i="43"/>
  <c r="O33" i="43" s="1"/>
  <c r="N18" i="43"/>
  <c r="N33" i="43" s="1"/>
  <c r="M18" i="43"/>
  <c r="M33" i="43" s="1"/>
  <c r="L18" i="43"/>
  <c r="L33" i="43" s="1"/>
  <c r="K18" i="43"/>
  <c r="K33" i="43" s="1"/>
  <c r="J18" i="43"/>
  <c r="J33" i="43" s="1"/>
  <c r="I18" i="43"/>
  <c r="I33" i="43" s="1"/>
  <c r="H18" i="43"/>
  <c r="H33" i="43" s="1"/>
  <c r="G18" i="43"/>
  <c r="G33" i="43" s="1"/>
  <c r="F18" i="43"/>
  <c r="F33" i="43" s="1"/>
  <c r="E18" i="43"/>
  <c r="E33" i="43" s="1"/>
  <c r="D18" i="43"/>
  <c r="D33" i="43" s="1"/>
  <c r="C18" i="43"/>
  <c r="C33" i="43" s="1"/>
  <c r="R17" i="43"/>
  <c r="T17" i="43" s="1"/>
  <c r="Q17" i="43"/>
  <c r="W17" i="43" s="1"/>
  <c r="A17" i="43"/>
  <c r="R15" i="43"/>
  <c r="T15" i="43" s="1"/>
  <c r="Q15" i="43"/>
  <c r="W15" i="43" s="1"/>
  <c r="A15" i="43"/>
  <c r="W14" i="43"/>
  <c r="R14" i="43"/>
  <c r="T14" i="43" s="1"/>
  <c r="Q14" i="43"/>
  <c r="A14" i="43"/>
  <c r="W12" i="43"/>
  <c r="T12" i="43"/>
  <c r="R12" i="43"/>
  <c r="Q12" i="43"/>
  <c r="A12" i="43"/>
  <c r="W11" i="43"/>
  <c r="T11" i="43"/>
  <c r="R11" i="43"/>
  <c r="Q11" i="43"/>
  <c r="A11" i="43"/>
  <c r="W10" i="43"/>
  <c r="T10" i="43"/>
  <c r="R10" i="43"/>
  <c r="Q10" i="43"/>
  <c r="A10" i="43"/>
  <c r="T9" i="43"/>
  <c r="R9" i="43"/>
  <c r="Q9" i="43"/>
  <c r="W9" i="43" s="1"/>
  <c r="A9" i="43"/>
  <c r="W7" i="43"/>
  <c r="R7" i="43"/>
  <c r="T7" i="43" s="1"/>
  <c r="Q7" i="43"/>
  <c r="A7" i="43"/>
  <c r="T6" i="43"/>
  <c r="R6" i="43"/>
  <c r="Q6" i="43"/>
  <c r="W6" i="43" s="1"/>
  <c r="A6" i="43"/>
  <c r="R5" i="43"/>
  <c r="R18" i="43" s="1"/>
  <c r="Q5" i="43"/>
  <c r="W5" i="43" s="1"/>
  <c r="A5" i="43"/>
  <c r="O3" i="43"/>
  <c r="P31" i="42"/>
  <c r="O31" i="42"/>
  <c r="N31" i="42"/>
  <c r="M31" i="42"/>
  <c r="L31" i="42"/>
  <c r="K31" i="42"/>
  <c r="J31" i="42"/>
  <c r="I31" i="42"/>
  <c r="H31" i="42"/>
  <c r="G31" i="42"/>
  <c r="F31" i="42"/>
  <c r="E31" i="42"/>
  <c r="D31" i="42"/>
  <c r="C31" i="42"/>
  <c r="W30" i="42"/>
  <c r="T30" i="42"/>
  <c r="R30" i="42"/>
  <c r="Q30" i="42"/>
  <c r="A30" i="42"/>
  <c r="W28" i="42"/>
  <c r="T28" i="42"/>
  <c r="R28" i="42"/>
  <c r="Q28" i="42"/>
  <c r="A28" i="42"/>
  <c r="W27" i="42"/>
  <c r="R27" i="42"/>
  <c r="T27" i="42" s="1"/>
  <c r="Q27" i="42"/>
  <c r="A27" i="42"/>
  <c r="R26" i="42"/>
  <c r="T26" i="42" s="1"/>
  <c r="Q26" i="42"/>
  <c r="W26" i="42" s="1"/>
  <c r="A26" i="42"/>
  <c r="T24" i="42"/>
  <c r="R24" i="42"/>
  <c r="Q24" i="42"/>
  <c r="W24" i="42" s="1"/>
  <c r="A24" i="42"/>
  <c r="R23" i="42"/>
  <c r="T23" i="42" s="1"/>
  <c r="Q23" i="42"/>
  <c r="W23" i="42" s="1"/>
  <c r="A23" i="42"/>
  <c r="R22" i="42"/>
  <c r="T22" i="42" s="1"/>
  <c r="Q22" i="42"/>
  <c r="W22" i="42" s="1"/>
  <c r="A22" i="42"/>
  <c r="W20" i="42"/>
  <c r="R20" i="42"/>
  <c r="T20" i="42" s="1"/>
  <c r="Q20" i="42"/>
  <c r="A20" i="42"/>
  <c r="P18" i="42"/>
  <c r="P33" i="42" s="1"/>
  <c r="O18" i="42"/>
  <c r="O33" i="42" s="1"/>
  <c r="N18" i="42"/>
  <c r="N33" i="42" s="1"/>
  <c r="M18" i="42"/>
  <c r="M33" i="42" s="1"/>
  <c r="L18" i="42"/>
  <c r="L33" i="42" s="1"/>
  <c r="K18" i="42"/>
  <c r="K33" i="42" s="1"/>
  <c r="J18" i="42"/>
  <c r="J33" i="42" s="1"/>
  <c r="I18" i="42"/>
  <c r="I33" i="42" s="1"/>
  <c r="H18" i="42"/>
  <c r="H33" i="42" s="1"/>
  <c r="G18" i="42"/>
  <c r="G33" i="42" s="1"/>
  <c r="F18" i="42"/>
  <c r="F33" i="42" s="1"/>
  <c r="E18" i="42"/>
  <c r="E33" i="42" s="1"/>
  <c r="D18" i="42"/>
  <c r="D33" i="42" s="1"/>
  <c r="C18" i="42"/>
  <c r="C33" i="42" s="1"/>
  <c r="R17" i="42"/>
  <c r="T17" i="42" s="1"/>
  <c r="Q17" i="42"/>
  <c r="W17" i="42" s="1"/>
  <c r="A17" i="42"/>
  <c r="R15" i="42"/>
  <c r="T15" i="42" s="1"/>
  <c r="Q15" i="42"/>
  <c r="W15" i="42" s="1"/>
  <c r="A15" i="42"/>
  <c r="W14" i="42"/>
  <c r="R14" i="42"/>
  <c r="T14" i="42" s="1"/>
  <c r="Q14" i="42"/>
  <c r="A14" i="42"/>
  <c r="W12" i="42"/>
  <c r="T12" i="42"/>
  <c r="R12" i="42"/>
  <c r="Q12" i="42"/>
  <c r="A12" i="42"/>
  <c r="W11" i="42"/>
  <c r="T11" i="42"/>
  <c r="R11" i="42"/>
  <c r="Q11" i="42"/>
  <c r="A11" i="42"/>
  <c r="W10" i="42"/>
  <c r="R10" i="42"/>
  <c r="T10" i="42" s="1"/>
  <c r="Q10" i="42"/>
  <c r="A10" i="42"/>
  <c r="R9" i="42"/>
  <c r="T9" i="42" s="1"/>
  <c r="Q9" i="42"/>
  <c r="W9" i="42" s="1"/>
  <c r="A9" i="42"/>
  <c r="R7" i="42"/>
  <c r="T7" i="42" s="1"/>
  <c r="Q7" i="42"/>
  <c r="W7" i="42" s="1"/>
  <c r="A7" i="42"/>
  <c r="R6" i="42"/>
  <c r="T6" i="42" s="1"/>
  <c r="Q6" i="42"/>
  <c r="W6" i="42" s="1"/>
  <c r="A6" i="42"/>
  <c r="R5" i="42"/>
  <c r="R18" i="42" s="1"/>
  <c r="Q5" i="42"/>
  <c r="W5" i="42" s="1"/>
  <c r="A5" i="42"/>
  <c r="O3" i="42"/>
  <c r="P31" i="41"/>
  <c r="O31" i="41"/>
  <c r="N31" i="41"/>
  <c r="M31" i="41"/>
  <c r="L31" i="41"/>
  <c r="K31" i="41"/>
  <c r="J31" i="41"/>
  <c r="I31" i="41"/>
  <c r="H31" i="41"/>
  <c r="G31" i="41"/>
  <c r="F31" i="41"/>
  <c r="E31" i="41"/>
  <c r="D31" i="41"/>
  <c r="C31" i="41"/>
  <c r="W30" i="41"/>
  <c r="T30" i="41"/>
  <c r="R30" i="41"/>
  <c r="Q30" i="41"/>
  <c r="A30" i="41"/>
  <c r="W28" i="41"/>
  <c r="T28" i="41"/>
  <c r="R28" i="41"/>
  <c r="Q28" i="41"/>
  <c r="A28" i="41"/>
  <c r="W27" i="41"/>
  <c r="R27" i="41"/>
  <c r="T27" i="41" s="1"/>
  <c r="Q27" i="41"/>
  <c r="A27" i="41"/>
  <c r="T26" i="41"/>
  <c r="R26" i="41"/>
  <c r="Q26" i="41"/>
  <c r="W26" i="41" s="1"/>
  <c r="A26" i="41"/>
  <c r="T24" i="41"/>
  <c r="R24" i="41"/>
  <c r="Q24" i="41"/>
  <c r="W24" i="41" s="1"/>
  <c r="A24" i="41"/>
  <c r="W23" i="41"/>
  <c r="R23" i="41"/>
  <c r="T23" i="41" s="1"/>
  <c r="Q23" i="41"/>
  <c r="A23" i="41"/>
  <c r="R22" i="41"/>
  <c r="T22" i="41" s="1"/>
  <c r="Q22" i="41"/>
  <c r="W22" i="41" s="1"/>
  <c r="A22" i="41"/>
  <c r="W20" i="41"/>
  <c r="R20" i="41"/>
  <c r="T20" i="41" s="1"/>
  <c r="T31" i="41" s="1"/>
  <c r="Q20" i="41"/>
  <c r="A20" i="41"/>
  <c r="P18" i="41"/>
  <c r="P33" i="41" s="1"/>
  <c r="O18" i="41"/>
  <c r="O33" i="41" s="1"/>
  <c r="N18" i="41"/>
  <c r="N33" i="41" s="1"/>
  <c r="M18" i="41"/>
  <c r="M33" i="41" s="1"/>
  <c r="L18" i="41"/>
  <c r="L33" i="41" s="1"/>
  <c r="K18" i="41"/>
  <c r="K33" i="41" s="1"/>
  <c r="J18" i="41"/>
  <c r="J33" i="41" s="1"/>
  <c r="I18" i="41"/>
  <c r="I33" i="41" s="1"/>
  <c r="H18" i="41"/>
  <c r="H33" i="41" s="1"/>
  <c r="G18" i="41"/>
  <c r="G33" i="41" s="1"/>
  <c r="F18" i="41"/>
  <c r="F33" i="41" s="1"/>
  <c r="E18" i="41"/>
  <c r="E33" i="41" s="1"/>
  <c r="D18" i="41"/>
  <c r="D33" i="41" s="1"/>
  <c r="C18" i="41"/>
  <c r="C33" i="41" s="1"/>
  <c r="R17" i="41"/>
  <c r="T17" i="41" s="1"/>
  <c r="Q17" i="41"/>
  <c r="W17" i="41" s="1"/>
  <c r="A17" i="41"/>
  <c r="R15" i="41"/>
  <c r="T15" i="41" s="1"/>
  <c r="Q15" i="41"/>
  <c r="W15" i="41" s="1"/>
  <c r="A15" i="41"/>
  <c r="W14" i="41"/>
  <c r="R14" i="41"/>
  <c r="T14" i="41" s="1"/>
  <c r="Q14" i="41"/>
  <c r="A14" i="41"/>
  <c r="W12" i="41"/>
  <c r="T12" i="41"/>
  <c r="R12" i="41"/>
  <c r="Q12" i="41"/>
  <c r="A12" i="41"/>
  <c r="W11" i="41"/>
  <c r="T11" i="41"/>
  <c r="R11" i="41"/>
  <c r="Q11" i="41"/>
  <c r="A11" i="41"/>
  <c r="W10" i="41"/>
  <c r="R10" i="41"/>
  <c r="T10" i="41" s="1"/>
  <c r="Q10" i="41"/>
  <c r="A10" i="41"/>
  <c r="T9" i="41"/>
  <c r="R9" i="41"/>
  <c r="Q9" i="41"/>
  <c r="W9" i="41" s="1"/>
  <c r="A9" i="41"/>
  <c r="T7" i="41"/>
  <c r="R7" i="41"/>
  <c r="Q7" i="41"/>
  <c r="W7" i="41" s="1"/>
  <c r="A7" i="41"/>
  <c r="R6" i="41"/>
  <c r="T6" i="41" s="1"/>
  <c r="Q6" i="41"/>
  <c r="W6" i="41" s="1"/>
  <c r="A6" i="41"/>
  <c r="R5" i="41"/>
  <c r="R18" i="41" s="1"/>
  <c r="Q5" i="41"/>
  <c r="W5" i="41" s="1"/>
  <c r="A5" i="41"/>
  <c r="O3" i="41"/>
  <c r="P31" i="40"/>
  <c r="O31" i="40"/>
  <c r="N31" i="40"/>
  <c r="M31" i="40"/>
  <c r="L31" i="40"/>
  <c r="K31" i="40"/>
  <c r="J31" i="40"/>
  <c r="I31" i="40"/>
  <c r="H31" i="40"/>
  <c r="G31" i="40"/>
  <c r="F31" i="40"/>
  <c r="E31" i="40"/>
  <c r="D31" i="40"/>
  <c r="C31" i="40"/>
  <c r="W30" i="40"/>
  <c r="T30" i="40"/>
  <c r="R30" i="40"/>
  <c r="Q30" i="40"/>
  <c r="A30" i="40"/>
  <c r="R28" i="40"/>
  <c r="T28" i="40" s="1"/>
  <c r="Q28" i="40"/>
  <c r="W28" i="40" s="1"/>
  <c r="A28" i="40"/>
  <c r="W27" i="40"/>
  <c r="R27" i="40"/>
  <c r="T27" i="40" s="1"/>
  <c r="Q27" i="40"/>
  <c r="A27" i="40"/>
  <c r="T26" i="40"/>
  <c r="R26" i="40"/>
  <c r="Q26" i="40"/>
  <c r="W26" i="40" s="1"/>
  <c r="A26" i="40"/>
  <c r="W24" i="40"/>
  <c r="T24" i="40"/>
  <c r="R24" i="40"/>
  <c r="Q24" i="40"/>
  <c r="A24" i="40"/>
  <c r="W23" i="40"/>
  <c r="R23" i="40"/>
  <c r="T23" i="40" s="1"/>
  <c r="Q23" i="40"/>
  <c r="A23" i="40"/>
  <c r="R22" i="40"/>
  <c r="T22" i="40" s="1"/>
  <c r="Q22" i="40"/>
  <c r="W22" i="40" s="1"/>
  <c r="A22" i="40"/>
  <c r="W20" i="40"/>
  <c r="T20" i="40"/>
  <c r="R20" i="40"/>
  <c r="Q20" i="40"/>
  <c r="A20" i="40"/>
  <c r="P18" i="40"/>
  <c r="P33" i="40" s="1"/>
  <c r="O18" i="40"/>
  <c r="O33" i="40" s="1"/>
  <c r="N18" i="40"/>
  <c r="N33" i="40" s="1"/>
  <c r="M18" i="40"/>
  <c r="M33" i="40" s="1"/>
  <c r="L18" i="40"/>
  <c r="L33" i="40" s="1"/>
  <c r="K18" i="40"/>
  <c r="K33" i="40" s="1"/>
  <c r="J18" i="40"/>
  <c r="J33" i="40" s="1"/>
  <c r="I18" i="40"/>
  <c r="I33" i="40" s="1"/>
  <c r="H18" i="40"/>
  <c r="H33" i="40" s="1"/>
  <c r="G18" i="40"/>
  <c r="G33" i="40" s="1"/>
  <c r="F18" i="40"/>
  <c r="F33" i="40" s="1"/>
  <c r="E18" i="40"/>
  <c r="E33" i="40" s="1"/>
  <c r="D18" i="40"/>
  <c r="D33" i="40" s="1"/>
  <c r="C18" i="40"/>
  <c r="C33" i="40" s="1"/>
  <c r="R17" i="40"/>
  <c r="T17" i="40" s="1"/>
  <c r="Q17" i="40"/>
  <c r="W17" i="40" s="1"/>
  <c r="A17" i="40"/>
  <c r="R15" i="40"/>
  <c r="T15" i="40" s="1"/>
  <c r="Q15" i="40"/>
  <c r="W15" i="40" s="1"/>
  <c r="A15" i="40"/>
  <c r="W14" i="40"/>
  <c r="T14" i="40"/>
  <c r="R14" i="40"/>
  <c r="Q14" i="40"/>
  <c r="A14" i="40"/>
  <c r="T12" i="40"/>
  <c r="R12" i="40"/>
  <c r="Q12" i="40"/>
  <c r="W12" i="40" s="1"/>
  <c r="A12" i="40"/>
  <c r="R11" i="40"/>
  <c r="T11" i="40" s="1"/>
  <c r="Q11" i="40"/>
  <c r="W11" i="40" s="1"/>
  <c r="A11" i="40"/>
  <c r="W10" i="40"/>
  <c r="R10" i="40"/>
  <c r="T10" i="40" s="1"/>
  <c r="Q10" i="40"/>
  <c r="A10" i="40"/>
  <c r="T9" i="40"/>
  <c r="R9" i="40"/>
  <c r="Q9" i="40"/>
  <c r="W9" i="40" s="1"/>
  <c r="A9" i="40"/>
  <c r="W7" i="40"/>
  <c r="T7" i="40"/>
  <c r="R7" i="40"/>
  <c r="Q7" i="40"/>
  <c r="A7" i="40"/>
  <c r="W6" i="40"/>
  <c r="R6" i="40"/>
  <c r="R18" i="40" s="1"/>
  <c r="Q6" i="40"/>
  <c r="A6" i="40"/>
  <c r="R5" i="40"/>
  <c r="T5" i="40" s="1"/>
  <c r="Q5" i="40"/>
  <c r="W5" i="40" s="1"/>
  <c r="A5" i="40"/>
  <c r="O3" i="40"/>
  <c r="E33" i="39"/>
  <c r="P31" i="39"/>
  <c r="O31" i="39"/>
  <c r="N31" i="39"/>
  <c r="M31" i="39"/>
  <c r="L31" i="39"/>
  <c r="K31" i="39"/>
  <c r="J31" i="39"/>
  <c r="I31" i="39"/>
  <c r="H31" i="39"/>
  <c r="G31" i="39"/>
  <c r="F31" i="39"/>
  <c r="E31" i="39"/>
  <c r="D31" i="39"/>
  <c r="C31" i="39"/>
  <c r="W30" i="39"/>
  <c r="T30" i="39"/>
  <c r="R30" i="39"/>
  <c r="Q30" i="39"/>
  <c r="A30" i="39"/>
  <c r="W28" i="39"/>
  <c r="T28" i="39"/>
  <c r="R28" i="39"/>
  <c r="Q28" i="39"/>
  <c r="A28" i="39"/>
  <c r="W27" i="39"/>
  <c r="R27" i="39"/>
  <c r="T27" i="39" s="1"/>
  <c r="Q27" i="39"/>
  <c r="A27" i="39"/>
  <c r="T26" i="39"/>
  <c r="R26" i="39"/>
  <c r="Q26" i="39"/>
  <c r="W26" i="39" s="1"/>
  <c r="A26" i="39"/>
  <c r="T24" i="39"/>
  <c r="R24" i="39"/>
  <c r="Q24" i="39"/>
  <c r="W24" i="39" s="1"/>
  <c r="A24" i="39"/>
  <c r="W23" i="39"/>
  <c r="R23" i="39"/>
  <c r="T23" i="39" s="1"/>
  <c r="Q23" i="39"/>
  <c r="A23" i="39"/>
  <c r="R22" i="39"/>
  <c r="T22" i="39" s="1"/>
  <c r="Q22" i="39"/>
  <c r="W22" i="39" s="1"/>
  <c r="A22" i="39"/>
  <c r="W20" i="39"/>
  <c r="R20" i="39"/>
  <c r="T20" i="39" s="1"/>
  <c r="T31" i="39" s="1"/>
  <c r="Q20" i="39"/>
  <c r="A20" i="39"/>
  <c r="P18" i="39"/>
  <c r="P33" i="39" s="1"/>
  <c r="O18" i="39"/>
  <c r="O33" i="39" s="1"/>
  <c r="N18" i="39"/>
  <c r="N33" i="39" s="1"/>
  <c r="M18" i="39"/>
  <c r="M33" i="39" s="1"/>
  <c r="L18" i="39"/>
  <c r="L33" i="39" s="1"/>
  <c r="K18" i="39"/>
  <c r="K33" i="39" s="1"/>
  <c r="J18" i="39"/>
  <c r="J33" i="39" s="1"/>
  <c r="I18" i="39"/>
  <c r="I33" i="39" s="1"/>
  <c r="H18" i="39"/>
  <c r="H33" i="39" s="1"/>
  <c r="G18" i="39"/>
  <c r="G33" i="39" s="1"/>
  <c r="F18" i="39"/>
  <c r="F33" i="39" s="1"/>
  <c r="E18" i="39"/>
  <c r="D18" i="39"/>
  <c r="D33" i="39" s="1"/>
  <c r="C18" i="39"/>
  <c r="C33" i="39" s="1"/>
  <c r="R17" i="39"/>
  <c r="T17" i="39" s="1"/>
  <c r="Q17" i="39"/>
  <c r="W17" i="39" s="1"/>
  <c r="A17" i="39"/>
  <c r="R15" i="39"/>
  <c r="T15" i="39" s="1"/>
  <c r="Q15" i="39"/>
  <c r="W15" i="39" s="1"/>
  <c r="A15" i="39"/>
  <c r="W14" i="39"/>
  <c r="R14" i="39"/>
  <c r="T14" i="39" s="1"/>
  <c r="Q14" i="39"/>
  <c r="A14" i="39"/>
  <c r="W12" i="39"/>
  <c r="T12" i="39"/>
  <c r="R12" i="39"/>
  <c r="Q12" i="39"/>
  <c r="A12" i="39"/>
  <c r="W11" i="39"/>
  <c r="T11" i="39"/>
  <c r="R11" i="39"/>
  <c r="Q11" i="39"/>
  <c r="A11" i="39"/>
  <c r="W10" i="39"/>
  <c r="R10" i="39"/>
  <c r="T10" i="39" s="1"/>
  <c r="Q10" i="39"/>
  <c r="A10" i="39"/>
  <c r="R9" i="39"/>
  <c r="T9" i="39" s="1"/>
  <c r="Q9" i="39"/>
  <c r="W9" i="39" s="1"/>
  <c r="A9" i="39"/>
  <c r="T7" i="39"/>
  <c r="R7" i="39"/>
  <c r="Q7" i="39"/>
  <c r="W7" i="39" s="1"/>
  <c r="A7" i="39"/>
  <c r="R6" i="39"/>
  <c r="T6" i="39" s="1"/>
  <c r="Q6" i="39"/>
  <c r="W6" i="39" s="1"/>
  <c r="A6" i="39"/>
  <c r="R5" i="39"/>
  <c r="R18" i="39" s="1"/>
  <c r="Q5" i="39"/>
  <c r="W5" i="39" s="1"/>
  <c r="A5" i="39"/>
  <c r="O3" i="39"/>
  <c r="P31" i="38"/>
  <c r="O31" i="38"/>
  <c r="N31" i="38"/>
  <c r="M31" i="38"/>
  <c r="L31" i="38"/>
  <c r="K31" i="38"/>
  <c r="J31" i="38"/>
  <c r="I31" i="38"/>
  <c r="H31" i="38"/>
  <c r="G31" i="38"/>
  <c r="F31" i="38"/>
  <c r="E31" i="38"/>
  <c r="D31" i="38"/>
  <c r="C31" i="38"/>
  <c r="W30" i="38"/>
  <c r="T30" i="38"/>
  <c r="R30" i="38"/>
  <c r="Q30" i="38"/>
  <c r="A30" i="38"/>
  <c r="W28" i="38"/>
  <c r="T28" i="38"/>
  <c r="R28" i="38"/>
  <c r="Q28" i="38"/>
  <c r="A28" i="38"/>
  <c r="W27" i="38"/>
  <c r="R27" i="38"/>
  <c r="T27" i="38" s="1"/>
  <c r="Q27" i="38"/>
  <c r="A27" i="38"/>
  <c r="R26" i="38"/>
  <c r="T26" i="38" s="1"/>
  <c r="Q26" i="38"/>
  <c r="W26" i="38" s="1"/>
  <c r="A26" i="38"/>
  <c r="T24" i="38"/>
  <c r="R24" i="38"/>
  <c r="Q24" i="38"/>
  <c r="W24" i="38" s="1"/>
  <c r="A24" i="38"/>
  <c r="W23" i="38"/>
  <c r="R23" i="38"/>
  <c r="T23" i="38" s="1"/>
  <c r="Q23" i="38"/>
  <c r="A23" i="38"/>
  <c r="T22" i="38"/>
  <c r="R22" i="38"/>
  <c r="Q22" i="38"/>
  <c r="W22" i="38" s="1"/>
  <c r="A22" i="38"/>
  <c r="W20" i="38"/>
  <c r="R20" i="38"/>
  <c r="T20" i="38" s="1"/>
  <c r="T31" i="38" s="1"/>
  <c r="Q20" i="38"/>
  <c r="A20" i="38"/>
  <c r="P18" i="38"/>
  <c r="P33" i="38" s="1"/>
  <c r="O18" i="38"/>
  <c r="O33" i="38" s="1"/>
  <c r="N18" i="38"/>
  <c r="N33" i="38" s="1"/>
  <c r="M18" i="38"/>
  <c r="M33" i="38" s="1"/>
  <c r="L18" i="38"/>
  <c r="L33" i="38" s="1"/>
  <c r="K18" i="38"/>
  <c r="K33" i="38" s="1"/>
  <c r="J18" i="38"/>
  <c r="J33" i="38" s="1"/>
  <c r="I18" i="38"/>
  <c r="I33" i="38" s="1"/>
  <c r="H18" i="38"/>
  <c r="H33" i="38" s="1"/>
  <c r="G18" i="38"/>
  <c r="G33" i="38" s="1"/>
  <c r="F18" i="38"/>
  <c r="F33" i="38" s="1"/>
  <c r="E18" i="38"/>
  <c r="E33" i="38" s="1"/>
  <c r="D18" i="38"/>
  <c r="D33" i="38" s="1"/>
  <c r="C18" i="38"/>
  <c r="C33" i="38" s="1"/>
  <c r="R17" i="38"/>
  <c r="T17" i="38" s="1"/>
  <c r="Q17" i="38"/>
  <c r="W17" i="38" s="1"/>
  <c r="A17" i="38"/>
  <c r="R15" i="38"/>
  <c r="T15" i="38" s="1"/>
  <c r="Q15" i="38"/>
  <c r="W15" i="38" s="1"/>
  <c r="A15" i="38"/>
  <c r="W14" i="38"/>
  <c r="R14" i="38"/>
  <c r="T14" i="38" s="1"/>
  <c r="Q14" i="38"/>
  <c r="A14" i="38"/>
  <c r="W12" i="38"/>
  <c r="T12" i="38"/>
  <c r="R12" i="38"/>
  <c r="Q12" i="38"/>
  <c r="A12" i="38"/>
  <c r="W11" i="38"/>
  <c r="T11" i="38"/>
  <c r="R11" i="38"/>
  <c r="Q11" i="38"/>
  <c r="A11" i="38"/>
  <c r="W10" i="38"/>
  <c r="R10" i="38"/>
  <c r="T10" i="38" s="1"/>
  <c r="Q10" i="38"/>
  <c r="A10" i="38"/>
  <c r="R9" i="38"/>
  <c r="T9" i="38" s="1"/>
  <c r="Q9" i="38"/>
  <c r="W9" i="38" s="1"/>
  <c r="A9" i="38"/>
  <c r="R7" i="38"/>
  <c r="T7" i="38" s="1"/>
  <c r="Q7" i="38"/>
  <c r="W7" i="38" s="1"/>
  <c r="A7" i="38"/>
  <c r="R6" i="38"/>
  <c r="T6" i="38" s="1"/>
  <c r="Q6" i="38"/>
  <c r="W6" i="38" s="1"/>
  <c r="A6" i="38"/>
  <c r="R5" i="38"/>
  <c r="R18" i="38" s="1"/>
  <c r="Q5" i="38"/>
  <c r="W5" i="38" s="1"/>
  <c r="A5" i="38"/>
  <c r="O3" i="38"/>
  <c r="M33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W30" i="37"/>
  <c r="T30" i="37"/>
  <c r="R30" i="37"/>
  <c r="Q30" i="37"/>
  <c r="A30" i="37"/>
  <c r="W28" i="37"/>
  <c r="T28" i="37"/>
  <c r="R28" i="37"/>
  <c r="Q28" i="37"/>
  <c r="A28" i="37"/>
  <c r="W27" i="37"/>
  <c r="R27" i="37"/>
  <c r="T27" i="37" s="1"/>
  <c r="Q27" i="37"/>
  <c r="A27" i="37"/>
  <c r="R26" i="37"/>
  <c r="T26" i="37" s="1"/>
  <c r="Q26" i="37"/>
  <c r="W26" i="37" s="1"/>
  <c r="A26" i="37"/>
  <c r="T24" i="37"/>
  <c r="R24" i="37"/>
  <c r="Q24" i="37"/>
  <c r="W24" i="37" s="1"/>
  <c r="A24" i="37"/>
  <c r="R23" i="37"/>
  <c r="T23" i="37" s="1"/>
  <c r="Q23" i="37"/>
  <c r="W23" i="37" s="1"/>
  <c r="A23" i="37"/>
  <c r="R22" i="37"/>
  <c r="T22" i="37" s="1"/>
  <c r="Q22" i="37"/>
  <c r="W22" i="37" s="1"/>
  <c r="A22" i="37"/>
  <c r="W20" i="37"/>
  <c r="R20" i="37"/>
  <c r="T20" i="37" s="1"/>
  <c r="Q20" i="37"/>
  <c r="A20" i="37"/>
  <c r="P18" i="37"/>
  <c r="P33" i="37" s="1"/>
  <c r="O18" i="37"/>
  <c r="O33" i="37" s="1"/>
  <c r="N18" i="37"/>
  <c r="N33" i="37" s="1"/>
  <c r="M18" i="37"/>
  <c r="L18" i="37"/>
  <c r="L33" i="37" s="1"/>
  <c r="K18" i="37"/>
  <c r="K33" i="37" s="1"/>
  <c r="J18" i="37"/>
  <c r="J33" i="37" s="1"/>
  <c r="I18" i="37"/>
  <c r="I33" i="37" s="1"/>
  <c r="H18" i="37"/>
  <c r="H33" i="37" s="1"/>
  <c r="G18" i="37"/>
  <c r="G33" i="37" s="1"/>
  <c r="F18" i="37"/>
  <c r="F33" i="37" s="1"/>
  <c r="E18" i="37"/>
  <c r="E33" i="37" s="1"/>
  <c r="D18" i="37"/>
  <c r="D33" i="37" s="1"/>
  <c r="C18" i="37"/>
  <c r="C33" i="37" s="1"/>
  <c r="R17" i="37"/>
  <c r="T17" i="37" s="1"/>
  <c r="Q17" i="37"/>
  <c r="W17" i="37" s="1"/>
  <c r="A17" i="37"/>
  <c r="R15" i="37"/>
  <c r="T15" i="37" s="1"/>
  <c r="Q15" i="37"/>
  <c r="W15" i="37" s="1"/>
  <c r="A15" i="37"/>
  <c r="W14" i="37"/>
  <c r="R14" i="37"/>
  <c r="T14" i="37" s="1"/>
  <c r="Q14" i="37"/>
  <c r="A14" i="37"/>
  <c r="W12" i="37"/>
  <c r="T12" i="37"/>
  <c r="R12" i="37"/>
  <c r="Q12" i="37"/>
  <c r="A12" i="37"/>
  <c r="W11" i="37"/>
  <c r="T11" i="37"/>
  <c r="R11" i="37"/>
  <c r="Q11" i="37"/>
  <c r="A11" i="37"/>
  <c r="W10" i="37"/>
  <c r="R10" i="37"/>
  <c r="T10" i="37" s="1"/>
  <c r="Q10" i="37"/>
  <c r="A10" i="37"/>
  <c r="R9" i="37"/>
  <c r="T9" i="37" s="1"/>
  <c r="Q9" i="37"/>
  <c r="W9" i="37" s="1"/>
  <c r="A9" i="37"/>
  <c r="R7" i="37"/>
  <c r="T7" i="37" s="1"/>
  <c r="Q7" i="37"/>
  <c r="W7" i="37" s="1"/>
  <c r="A7" i="37"/>
  <c r="R6" i="37"/>
  <c r="T6" i="37" s="1"/>
  <c r="Q6" i="37"/>
  <c r="W6" i="37" s="1"/>
  <c r="A6" i="37"/>
  <c r="R5" i="37"/>
  <c r="Q5" i="37"/>
  <c r="W5" i="37" s="1"/>
  <c r="A5" i="37"/>
  <c r="I3" i="37"/>
  <c r="O3" i="37"/>
  <c r="P31" i="36"/>
  <c r="O31" i="36"/>
  <c r="N31" i="36"/>
  <c r="M31" i="36"/>
  <c r="L31" i="36"/>
  <c r="K31" i="36"/>
  <c r="J31" i="36"/>
  <c r="I31" i="36"/>
  <c r="H31" i="36"/>
  <c r="G31" i="36"/>
  <c r="F31" i="36"/>
  <c r="E31" i="36"/>
  <c r="D31" i="36"/>
  <c r="C31" i="36"/>
  <c r="T30" i="36"/>
  <c r="R30" i="36"/>
  <c r="Q30" i="36"/>
  <c r="W30" i="36" s="1"/>
  <c r="A30" i="36"/>
  <c r="R28" i="36"/>
  <c r="T28" i="36" s="1"/>
  <c r="Q28" i="36"/>
  <c r="W28" i="36" s="1"/>
  <c r="A28" i="36"/>
  <c r="W27" i="36"/>
  <c r="R27" i="36"/>
  <c r="T27" i="36" s="1"/>
  <c r="Q27" i="36"/>
  <c r="A27" i="36"/>
  <c r="T26" i="36"/>
  <c r="R26" i="36"/>
  <c r="Q26" i="36"/>
  <c r="W26" i="36" s="1"/>
  <c r="A26" i="36"/>
  <c r="W24" i="36"/>
  <c r="T24" i="36"/>
  <c r="R24" i="36"/>
  <c r="Q24" i="36"/>
  <c r="A24" i="36"/>
  <c r="W23" i="36"/>
  <c r="R23" i="36"/>
  <c r="T23" i="36" s="1"/>
  <c r="Q23" i="36"/>
  <c r="A23" i="36"/>
  <c r="R22" i="36"/>
  <c r="T22" i="36" s="1"/>
  <c r="Q22" i="36"/>
  <c r="W22" i="36" s="1"/>
  <c r="A22" i="36"/>
  <c r="W20" i="36"/>
  <c r="T20" i="36"/>
  <c r="R20" i="36"/>
  <c r="Q20" i="36"/>
  <c r="A20" i="36"/>
  <c r="P18" i="36"/>
  <c r="P33" i="36" s="1"/>
  <c r="O18" i="36"/>
  <c r="O33" i="36" s="1"/>
  <c r="N18" i="36"/>
  <c r="N33" i="36" s="1"/>
  <c r="M18" i="36"/>
  <c r="M33" i="36" s="1"/>
  <c r="L18" i="36"/>
  <c r="L33" i="36" s="1"/>
  <c r="K18" i="36"/>
  <c r="K33" i="36" s="1"/>
  <c r="J18" i="36"/>
  <c r="J33" i="36" s="1"/>
  <c r="I18" i="36"/>
  <c r="I33" i="36" s="1"/>
  <c r="H18" i="36"/>
  <c r="H33" i="36" s="1"/>
  <c r="G18" i="36"/>
  <c r="G33" i="36" s="1"/>
  <c r="F18" i="36"/>
  <c r="F33" i="36" s="1"/>
  <c r="E18" i="36"/>
  <c r="E33" i="36" s="1"/>
  <c r="D18" i="36"/>
  <c r="D33" i="36" s="1"/>
  <c r="C18" i="36"/>
  <c r="C33" i="36" s="1"/>
  <c r="R17" i="36"/>
  <c r="T17" i="36" s="1"/>
  <c r="Q17" i="36"/>
  <c r="W17" i="36" s="1"/>
  <c r="A17" i="36"/>
  <c r="R15" i="36"/>
  <c r="T15" i="36" s="1"/>
  <c r="Q15" i="36"/>
  <c r="W15" i="36" s="1"/>
  <c r="A15" i="36"/>
  <c r="W14" i="36"/>
  <c r="T14" i="36"/>
  <c r="R14" i="36"/>
  <c r="Q14" i="36"/>
  <c r="A14" i="36"/>
  <c r="T12" i="36"/>
  <c r="R12" i="36"/>
  <c r="Q12" i="36"/>
  <c r="W12" i="36" s="1"/>
  <c r="A12" i="36"/>
  <c r="R11" i="36"/>
  <c r="T11" i="36" s="1"/>
  <c r="Q11" i="36"/>
  <c r="W11" i="36" s="1"/>
  <c r="A11" i="36"/>
  <c r="W10" i="36"/>
  <c r="R10" i="36"/>
  <c r="T10" i="36" s="1"/>
  <c r="Q10" i="36"/>
  <c r="A10" i="36"/>
  <c r="T9" i="36"/>
  <c r="R9" i="36"/>
  <c r="Q9" i="36"/>
  <c r="W9" i="36" s="1"/>
  <c r="A9" i="36"/>
  <c r="W7" i="36"/>
  <c r="T7" i="36"/>
  <c r="R7" i="36"/>
  <c r="Q7" i="36"/>
  <c r="A7" i="36"/>
  <c r="W6" i="36"/>
  <c r="R6" i="36"/>
  <c r="R18" i="36" s="1"/>
  <c r="Q6" i="36"/>
  <c r="A6" i="36"/>
  <c r="R5" i="36"/>
  <c r="T5" i="36" s="1"/>
  <c r="Q5" i="36"/>
  <c r="W5" i="36" s="1"/>
  <c r="A5" i="36"/>
  <c r="O3" i="36"/>
  <c r="M33" i="35"/>
  <c r="P31" i="35"/>
  <c r="O31" i="35"/>
  <c r="N31" i="35"/>
  <c r="M31" i="35"/>
  <c r="L31" i="35"/>
  <c r="K31" i="35"/>
  <c r="J31" i="35"/>
  <c r="I31" i="35"/>
  <c r="H31" i="35"/>
  <c r="G31" i="35"/>
  <c r="F31" i="35"/>
  <c r="E31" i="35"/>
  <c r="D31" i="35"/>
  <c r="C31" i="35"/>
  <c r="W30" i="35"/>
  <c r="T30" i="35"/>
  <c r="R30" i="35"/>
  <c r="Q30" i="35"/>
  <c r="A30" i="35"/>
  <c r="W28" i="35"/>
  <c r="T28" i="35"/>
  <c r="R28" i="35"/>
  <c r="Q28" i="35"/>
  <c r="A28" i="35"/>
  <c r="W27" i="35"/>
  <c r="R27" i="35"/>
  <c r="T27" i="35" s="1"/>
  <c r="Q27" i="35"/>
  <c r="A27" i="35"/>
  <c r="R26" i="35"/>
  <c r="T26" i="35" s="1"/>
  <c r="Q26" i="35"/>
  <c r="W26" i="35" s="1"/>
  <c r="A26" i="35"/>
  <c r="T24" i="35"/>
  <c r="R24" i="35"/>
  <c r="Q24" i="35"/>
  <c r="W24" i="35" s="1"/>
  <c r="A24" i="35"/>
  <c r="W23" i="35"/>
  <c r="R23" i="35"/>
  <c r="T23" i="35" s="1"/>
  <c r="Q23" i="35"/>
  <c r="A23" i="35"/>
  <c r="R22" i="35"/>
  <c r="T22" i="35" s="1"/>
  <c r="Q22" i="35"/>
  <c r="W22" i="35" s="1"/>
  <c r="A22" i="35"/>
  <c r="W20" i="35"/>
  <c r="R20" i="35"/>
  <c r="T20" i="35" s="1"/>
  <c r="Q20" i="35"/>
  <c r="A20" i="35"/>
  <c r="P18" i="35"/>
  <c r="P33" i="35" s="1"/>
  <c r="O18" i="35"/>
  <c r="O33" i="35" s="1"/>
  <c r="N18" i="35"/>
  <c r="N33" i="35" s="1"/>
  <c r="M18" i="35"/>
  <c r="L18" i="35"/>
  <c r="L33" i="35" s="1"/>
  <c r="K18" i="35"/>
  <c r="K33" i="35" s="1"/>
  <c r="J18" i="35"/>
  <c r="J33" i="35" s="1"/>
  <c r="I18" i="35"/>
  <c r="I33" i="35" s="1"/>
  <c r="H18" i="35"/>
  <c r="H33" i="35" s="1"/>
  <c r="G18" i="35"/>
  <c r="G33" i="35" s="1"/>
  <c r="F18" i="35"/>
  <c r="F33" i="35" s="1"/>
  <c r="E18" i="35"/>
  <c r="E33" i="35" s="1"/>
  <c r="D18" i="35"/>
  <c r="D33" i="35" s="1"/>
  <c r="C18" i="35"/>
  <c r="C33" i="35" s="1"/>
  <c r="R17" i="35"/>
  <c r="T17" i="35" s="1"/>
  <c r="Q17" i="35"/>
  <c r="W17" i="35" s="1"/>
  <c r="A17" i="35"/>
  <c r="R15" i="35"/>
  <c r="T15" i="35" s="1"/>
  <c r="Q15" i="35"/>
  <c r="W15" i="35" s="1"/>
  <c r="A15" i="35"/>
  <c r="W14" i="35"/>
  <c r="R14" i="35"/>
  <c r="T14" i="35" s="1"/>
  <c r="Q14" i="35"/>
  <c r="A14" i="35"/>
  <c r="W12" i="35"/>
  <c r="T12" i="35"/>
  <c r="R12" i="35"/>
  <c r="Q12" i="35"/>
  <c r="A12" i="35"/>
  <c r="W11" i="35"/>
  <c r="T11" i="35"/>
  <c r="R11" i="35"/>
  <c r="Q11" i="35"/>
  <c r="A11" i="35"/>
  <c r="W10" i="35"/>
  <c r="R10" i="35"/>
  <c r="T10" i="35" s="1"/>
  <c r="Q10" i="35"/>
  <c r="A10" i="35"/>
  <c r="R9" i="35"/>
  <c r="T9" i="35" s="1"/>
  <c r="Q9" i="35"/>
  <c r="W9" i="35" s="1"/>
  <c r="A9" i="35"/>
  <c r="T7" i="35"/>
  <c r="R7" i="35"/>
  <c r="Q7" i="35"/>
  <c r="W7" i="35" s="1"/>
  <c r="A7" i="35"/>
  <c r="R6" i="35"/>
  <c r="T6" i="35" s="1"/>
  <c r="Q6" i="35"/>
  <c r="W6" i="35" s="1"/>
  <c r="A6" i="35"/>
  <c r="R5" i="35"/>
  <c r="R18" i="35" s="1"/>
  <c r="Q5" i="35"/>
  <c r="W5" i="35" s="1"/>
  <c r="A5" i="35"/>
  <c r="P3" i="35"/>
  <c r="M33" i="34"/>
  <c r="E33" i="34"/>
  <c r="P31" i="34"/>
  <c r="O31" i="34"/>
  <c r="N31" i="34"/>
  <c r="M31" i="34"/>
  <c r="L31" i="34"/>
  <c r="K31" i="34"/>
  <c r="J31" i="34"/>
  <c r="I31" i="34"/>
  <c r="H31" i="34"/>
  <c r="G31" i="34"/>
  <c r="F31" i="34"/>
  <c r="E31" i="34"/>
  <c r="D31" i="34"/>
  <c r="C31" i="34"/>
  <c r="W30" i="34"/>
  <c r="T30" i="34"/>
  <c r="R30" i="34"/>
  <c r="Q30" i="34"/>
  <c r="A30" i="34"/>
  <c r="W28" i="34"/>
  <c r="T28" i="34"/>
  <c r="R28" i="34"/>
  <c r="Q28" i="34"/>
  <c r="A28" i="34"/>
  <c r="W27" i="34"/>
  <c r="R27" i="34"/>
  <c r="T27" i="34" s="1"/>
  <c r="Q27" i="34"/>
  <c r="A27" i="34"/>
  <c r="T26" i="34"/>
  <c r="R26" i="34"/>
  <c r="Q26" i="34"/>
  <c r="W26" i="34" s="1"/>
  <c r="A26" i="34"/>
  <c r="T24" i="34"/>
  <c r="R24" i="34"/>
  <c r="Q24" i="34"/>
  <c r="W24" i="34" s="1"/>
  <c r="A24" i="34"/>
  <c r="W23" i="34"/>
  <c r="R23" i="34"/>
  <c r="T23" i="34" s="1"/>
  <c r="Q23" i="34"/>
  <c r="A23" i="34"/>
  <c r="R22" i="34"/>
  <c r="T22" i="34" s="1"/>
  <c r="Q22" i="34"/>
  <c r="W22" i="34" s="1"/>
  <c r="A22" i="34"/>
  <c r="W20" i="34"/>
  <c r="R20" i="34"/>
  <c r="T20" i="34" s="1"/>
  <c r="T31" i="34" s="1"/>
  <c r="Q20" i="34"/>
  <c r="A20" i="34"/>
  <c r="P18" i="34"/>
  <c r="P33" i="34" s="1"/>
  <c r="O18" i="34"/>
  <c r="O33" i="34" s="1"/>
  <c r="N18" i="34"/>
  <c r="N33" i="34" s="1"/>
  <c r="M18" i="34"/>
  <c r="L18" i="34"/>
  <c r="L33" i="34" s="1"/>
  <c r="K18" i="34"/>
  <c r="K33" i="34" s="1"/>
  <c r="J18" i="34"/>
  <c r="J33" i="34" s="1"/>
  <c r="I18" i="34"/>
  <c r="I33" i="34" s="1"/>
  <c r="H18" i="34"/>
  <c r="H33" i="34" s="1"/>
  <c r="G18" i="34"/>
  <c r="G33" i="34" s="1"/>
  <c r="F18" i="34"/>
  <c r="F33" i="34" s="1"/>
  <c r="E18" i="34"/>
  <c r="D18" i="34"/>
  <c r="D33" i="34" s="1"/>
  <c r="C18" i="34"/>
  <c r="C33" i="34" s="1"/>
  <c r="R17" i="34"/>
  <c r="T17" i="34" s="1"/>
  <c r="Q17" i="34"/>
  <c r="W17" i="34" s="1"/>
  <c r="A17" i="34"/>
  <c r="R15" i="34"/>
  <c r="T15" i="34" s="1"/>
  <c r="Q15" i="34"/>
  <c r="W15" i="34" s="1"/>
  <c r="A15" i="34"/>
  <c r="W14" i="34"/>
  <c r="R14" i="34"/>
  <c r="T14" i="34" s="1"/>
  <c r="Q14" i="34"/>
  <c r="A14" i="34"/>
  <c r="W12" i="34"/>
  <c r="T12" i="34"/>
  <c r="R12" i="34"/>
  <c r="Q12" i="34"/>
  <c r="A12" i="34"/>
  <c r="W11" i="34"/>
  <c r="T11" i="34"/>
  <c r="R11" i="34"/>
  <c r="Q11" i="34"/>
  <c r="A11" i="34"/>
  <c r="W10" i="34"/>
  <c r="R10" i="34"/>
  <c r="T10" i="34" s="1"/>
  <c r="Q10" i="34"/>
  <c r="A10" i="34"/>
  <c r="R9" i="34"/>
  <c r="T9" i="34" s="1"/>
  <c r="Q9" i="34"/>
  <c r="W9" i="34" s="1"/>
  <c r="A9" i="34"/>
  <c r="T7" i="34"/>
  <c r="R7" i="34"/>
  <c r="Q7" i="34"/>
  <c r="W7" i="34" s="1"/>
  <c r="A7" i="34"/>
  <c r="R6" i="34"/>
  <c r="T6" i="34" s="1"/>
  <c r="Q6" i="34"/>
  <c r="W6" i="34" s="1"/>
  <c r="A6" i="34"/>
  <c r="R5" i="34"/>
  <c r="R18" i="34" s="1"/>
  <c r="Q5" i="34"/>
  <c r="W5" i="34" s="1"/>
  <c r="A5" i="34"/>
  <c r="P31" i="33"/>
  <c r="O31" i="33"/>
  <c r="N31" i="33"/>
  <c r="M31" i="33"/>
  <c r="L31" i="33"/>
  <c r="K31" i="33"/>
  <c r="J31" i="33"/>
  <c r="I31" i="33"/>
  <c r="H31" i="33"/>
  <c r="G31" i="33"/>
  <c r="F31" i="33"/>
  <c r="E31" i="33"/>
  <c r="D31" i="33"/>
  <c r="C31" i="33"/>
  <c r="R30" i="33"/>
  <c r="T30" i="33" s="1"/>
  <c r="Q30" i="33"/>
  <c r="U30" i="33" s="1"/>
  <c r="A30" i="33"/>
  <c r="R28" i="33"/>
  <c r="T28" i="33" s="1"/>
  <c r="Q28" i="33"/>
  <c r="U28" i="33" s="1"/>
  <c r="A28" i="33"/>
  <c r="R27" i="33"/>
  <c r="T27" i="33" s="1"/>
  <c r="Q27" i="33"/>
  <c r="U27" i="33" s="1"/>
  <c r="A27" i="33"/>
  <c r="R26" i="33"/>
  <c r="T26" i="33" s="1"/>
  <c r="Q26" i="33"/>
  <c r="U26" i="33" s="1"/>
  <c r="A26" i="33"/>
  <c r="R24" i="33"/>
  <c r="T24" i="33" s="1"/>
  <c r="Q24" i="33"/>
  <c r="U24" i="33" s="1"/>
  <c r="A24" i="33"/>
  <c r="U23" i="33"/>
  <c r="R23" i="33"/>
  <c r="T23" i="33" s="1"/>
  <c r="Q23" i="33"/>
  <c r="A23" i="33"/>
  <c r="R22" i="33"/>
  <c r="T22" i="33" s="1"/>
  <c r="Q22" i="33"/>
  <c r="U22" i="33" s="1"/>
  <c r="A22" i="33"/>
  <c r="R20" i="33"/>
  <c r="T20" i="33" s="1"/>
  <c r="Q20" i="33"/>
  <c r="U20" i="33" s="1"/>
  <c r="A20" i="33"/>
  <c r="P18" i="33"/>
  <c r="P33" i="33" s="1"/>
  <c r="O18" i="33"/>
  <c r="O33" i="33" s="1"/>
  <c r="N18" i="33"/>
  <c r="N33" i="33" s="1"/>
  <c r="D103" i="5" s="1"/>
  <c r="M18" i="33"/>
  <c r="M33" i="33" s="1"/>
  <c r="L18" i="33"/>
  <c r="L33" i="33" s="1"/>
  <c r="D102" i="5" s="1"/>
  <c r="K18" i="33"/>
  <c r="K33" i="33" s="1"/>
  <c r="J18" i="33"/>
  <c r="J33" i="33" s="1"/>
  <c r="D101" i="5" s="1"/>
  <c r="I18" i="33"/>
  <c r="I33" i="33" s="1"/>
  <c r="H18" i="33"/>
  <c r="H33" i="33" s="1"/>
  <c r="D100" i="5" s="1"/>
  <c r="G18" i="33"/>
  <c r="G33" i="33" s="1"/>
  <c r="F18" i="33"/>
  <c r="F33" i="33" s="1"/>
  <c r="D99" i="5" s="1"/>
  <c r="E18" i="33"/>
  <c r="E33" i="33" s="1"/>
  <c r="D18" i="33"/>
  <c r="D33" i="33" s="1"/>
  <c r="D98" i="5" s="1"/>
  <c r="C18" i="33"/>
  <c r="C33" i="33" s="1"/>
  <c r="R17" i="33"/>
  <c r="T17" i="33" s="1"/>
  <c r="Q17" i="33"/>
  <c r="U17" i="33" s="1"/>
  <c r="A17" i="33"/>
  <c r="R15" i="33"/>
  <c r="T15" i="33" s="1"/>
  <c r="Q15" i="33"/>
  <c r="U15" i="33" s="1"/>
  <c r="A15" i="33"/>
  <c r="R14" i="33"/>
  <c r="T14" i="33" s="1"/>
  <c r="Q14" i="33"/>
  <c r="U14" i="33" s="1"/>
  <c r="A14" i="33"/>
  <c r="T12" i="33"/>
  <c r="R12" i="33"/>
  <c r="Q12" i="33"/>
  <c r="U12" i="33" s="1"/>
  <c r="A12" i="33"/>
  <c r="R11" i="33"/>
  <c r="T11" i="33" s="1"/>
  <c r="Q11" i="33"/>
  <c r="U11" i="33" s="1"/>
  <c r="A11" i="33"/>
  <c r="R10" i="33"/>
  <c r="T10" i="33" s="1"/>
  <c r="Q10" i="33"/>
  <c r="U10" i="33" s="1"/>
  <c r="A10" i="33"/>
  <c r="R9" i="33"/>
  <c r="T9" i="33" s="1"/>
  <c r="Q9" i="33"/>
  <c r="U9" i="33" s="1"/>
  <c r="A9" i="33"/>
  <c r="R7" i="33"/>
  <c r="T7" i="33" s="1"/>
  <c r="Q7" i="33"/>
  <c r="U7" i="33" s="1"/>
  <c r="A7" i="33"/>
  <c r="R6" i="33"/>
  <c r="T6" i="33" s="1"/>
  <c r="Q6" i="33"/>
  <c r="U6" i="33" s="1"/>
  <c r="A6" i="33"/>
  <c r="R5" i="33"/>
  <c r="Q5" i="33"/>
  <c r="U5" i="33" s="1"/>
  <c r="A5" i="33"/>
  <c r="I3" i="33"/>
  <c r="O3" i="33"/>
  <c r="P31" i="32"/>
  <c r="O31" i="32"/>
  <c r="N31" i="32"/>
  <c r="M31" i="32"/>
  <c r="L31" i="32"/>
  <c r="K31" i="32"/>
  <c r="J31" i="32"/>
  <c r="I31" i="32"/>
  <c r="H31" i="32"/>
  <c r="G31" i="32"/>
  <c r="F31" i="32"/>
  <c r="E31" i="32"/>
  <c r="D31" i="32"/>
  <c r="C31" i="32"/>
  <c r="R30" i="32"/>
  <c r="T30" i="32" s="1"/>
  <c r="Q30" i="32"/>
  <c r="U30" i="32" s="1"/>
  <c r="A30" i="32"/>
  <c r="R28" i="32"/>
  <c r="T28" i="32" s="1"/>
  <c r="Q28" i="32"/>
  <c r="U28" i="32" s="1"/>
  <c r="A28" i="32"/>
  <c r="R27" i="32"/>
  <c r="T27" i="32" s="1"/>
  <c r="Q27" i="32"/>
  <c r="U27" i="32" s="1"/>
  <c r="A27" i="32"/>
  <c r="R26" i="32"/>
  <c r="T26" i="32" s="1"/>
  <c r="Q26" i="32"/>
  <c r="U26" i="32" s="1"/>
  <c r="A26" i="32"/>
  <c r="T24" i="32"/>
  <c r="R24" i="32"/>
  <c r="Q24" i="32"/>
  <c r="U24" i="32" s="1"/>
  <c r="A24" i="32"/>
  <c r="R23" i="32"/>
  <c r="T23" i="32" s="1"/>
  <c r="Q23" i="32"/>
  <c r="U23" i="32" s="1"/>
  <c r="A23" i="32"/>
  <c r="R22" i="32"/>
  <c r="T22" i="32" s="1"/>
  <c r="Q22" i="32"/>
  <c r="U22" i="32" s="1"/>
  <c r="A22" i="32"/>
  <c r="U20" i="32"/>
  <c r="R20" i="32"/>
  <c r="T20" i="32" s="1"/>
  <c r="Q20" i="32"/>
  <c r="A20" i="32"/>
  <c r="P18" i="32"/>
  <c r="P33" i="32" s="1"/>
  <c r="D97" i="5" s="1"/>
  <c r="O18" i="32"/>
  <c r="O33" i="32" s="1"/>
  <c r="N18" i="32"/>
  <c r="N33" i="32" s="1"/>
  <c r="D96" i="5" s="1"/>
  <c r="M18" i="32"/>
  <c r="M33" i="32" s="1"/>
  <c r="L18" i="32"/>
  <c r="L33" i="32" s="1"/>
  <c r="D95" i="5" s="1"/>
  <c r="K18" i="32"/>
  <c r="K33" i="32" s="1"/>
  <c r="J18" i="32"/>
  <c r="J33" i="32" s="1"/>
  <c r="D94" i="5" s="1"/>
  <c r="I18" i="32"/>
  <c r="I33" i="32" s="1"/>
  <c r="H18" i="32"/>
  <c r="H33" i="32" s="1"/>
  <c r="D93" i="5" s="1"/>
  <c r="G18" i="32"/>
  <c r="G33" i="32" s="1"/>
  <c r="F18" i="32"/>
  <c r="F33" i="32" s="1"/>
  <c r="D92" i="5" s="1"/>
  <c r="E18" i="32"/>
  <c r="E33" i="32" s="1"/>
  <c r="D18" i="32"/>
  <c r="D33" i="32" s="1"/>
  <c r="D91" i="5" s="1"/>
  <c r="C18" i="32"/>
  <c r="C33" i="32" s="1"/>
  <c r="R17" i="32"/>
  <c r="T17" i="32" s="1"/>
  <c r="Q17" i="32"/>
  <c r="U17" i="32" s="1"/>
  <c r="A17" i="32"/>
  <c r="R15" i="32"/>
  <c r="T15" i="32" s="1"/>
  <c r="Q15" i="32"/>
  <c r="U15" i="32" s="1"/>
  <c r="A15" i="32"/>
  <c r="U14" i="32"/>
  <c r="R14" i="32"/>
  <c r="T14" i="32" s="1"/>
  <c r="Q14" i="32"/>
  <c r="A14" i="32"/>
  <c r="T12" i="32"/>
  <c r="R12" i="32"/>
  <c r="Q12" i="32"/>
  <c r="U12" i="32" s="1"/>
  <c r="A12" i="32"/>
  <c r="R11" i="32"/>
  <c r="T11" i="32" s="1"/>
  <c r="Q11" i="32"/>
  <c r="U11" i="32" s="1"/>
  <c r="A11" i="32"/>
  <c r="R10" i="32"/>
  <c r="T10" i="32" s="1"/>
  <c r="Q10" i="32"/>
  <c r="U10" i="32" s="1"/>
  <c r="A10" i="32"/>
  <c r="R9" i="32"/>
  <c r="T9" i="32" s="1"/>
  <c r="Q9" i="32"/>
  <c r="U9" i="32" s="1"/>
  <c r="A9" i="32"/>
  <c r="T7" i="32"/>
  <c r="R7" i="32"/>
  <c r="Q7" i="32"/>
  <c r="U7" i="32" s="1"/>
  <c r="A7" i="32"/>
  <c r="R6" i="32"/>
  <c r="T6" i="32" s="1"/>
  <c r="Q6" i="32"/>
  <c r="U6" i="32" s="1"/>
  <c r="A6" i="32"/>
  <c r="R5" i="32"/>
  <c r="Q5" i="32"/>
  <c r="U5" i="32" s="1"/>
  <c r="A5" i="32"/>
  <c r="I3" i="32"/>
  <c r="O3" i="32"/>
  <c r="P31" i="31"/>
  <c r="O31" i="31"/>
  <c r="N31" i="31"/>
  <c r="M31" i="31"/>
  <c r="L31" i="31"/>
  <c r="K31" i="31"/>
  <c r="J31" i="31"/>
  <c r="I31" i="31"/>
  <c r="H31" i="31"/>
  <c r="G31" i="31"/>
  <c r="F31" i="31"/>
  <c r="E31" i="31"/>
  <c r="D31" i="31"/>
  <c r="C31" i="31"/>
  <c r="R30" i="31"/>
  <c r="T30" i="31" s="1"/>
  <c r="Q30" i="31"/>
  <c r="U30" i="31" s="1"/>
  <c r="A30" i="31"/>
  <c r="R28" i="31"/>
  <c r="T28" i="31" s="1"/>
  <c r="Q28" i="31"/>
  <c r="U28" i="31" s="1"/>
  <c r="A28" i="31"/>
  <c r="R27" i="31"/>
  <c r="T27" i="31" s="1"/>
  <c r="Q27" i="31"/>
  <c r="U27" i="31" s="1"/>
  <c r="A27" i="31"/>
  <c r="T26" i="31"/>
  <c r="R26" i="31"/>
  <c r="Q26" i="31"/>
  <c r="U26" i="31" s="1"/>
  <c r="A26" i="31"/>
  <c r="R24" i="31"/>
  <c r="T24" i="31" s="1"/>
  <c r="Q24" i="31"/>
  <c r="U24" i="31" s="1"/>
  <c r="A24" i="31"/>
  <c r="R23" i="31"/>
  <c r="T23" i="31" s="1"/>
  <c r="Q23" i="31"/>
  <c r="U23" i="31" s="1"/>
  <c r="A23" i="31"/>
  <c r="R22" i="31"/>
  <c r="T22" i="31" s="1"/>
  <c r="Q22" i="31"/>
  <c r="U22" i="31" s="1"/>
  <c r="A22" i="31"/>
  <c r="R20" i="31"/>
  <c r="T20" i="31" s="1"/>
  <c r="Q20" i="31"/>
  <c r="U20" i="31" s="1"/>
  <c r="A20" i="31"/>
  <c r="P18" i="31"/>
  <c r="P33" i="31" s="1"/>
  <c r="D90" i="5" s="1"/>
  <c r="O18" i="31"/>
  <c r="O33" i="31" s="1"/>
  <c r="N18" i="31"/>
  <c r="N33" i="31" s="1"/>
  <c r="D89" i="5" s="1"/>
  <c r="M18" i="31"/>
  <c r="M33" i="31" s="1"/>
  <c r="L18" i="31"/>
  <c r="L33" i="31" s="1"/>
  <c r="D88" i="5" s="1"/>
  <c r="K18" i="31"/>
  <c r="K33" i="31" s="1"/>
  <c r="J18" i="31"/>
  <c r="J33" i="31" s="1"/>
  <c r="D87" i="5" s="1"/>
  <c r="I18" i="31"/>
  <c r="I33" i="31" s="1"/>
  <c r="H18" i="31"/>
  <c r="H33" i="31" s="1"/>
  <c r="D86" i="5" s="1"/>
  <c r="G18" i="31"/>
  <c r="G33" i="31" s="1"/>
  <c r="F18" i="31"/>
  <c r="F33" i="31" s="1"/>
  <c r="D85" i="5" s="1"/>
  <c r="E18" i="31"/>
  <c r="E33" i="31" s="1"/>
  <c r="D18" i="31"/>
  <c r="D33" i="31" s="1"/>
  <c r="D84" i="5" s="1"/>
  <c r="C18" i="31"/>
  <c r="C33" i="31" s="1"/>
  <c r="U17" i="31"/>
  <c r="R17" i="31"/>
  <c r="T17" i="31" s="1"/>
  <c r="Q17" i="31"/>
  <c r="A17" i="31"/>
  <c r="R15" i="31"/>
  <c r="T15" i="31" s="1"/>
  <c r="Q15" i="31"/>
  <c r="U15" i="31" s="1"/>
  <c r="A15" i="31"/>
  <c r="U14" i="31"/>
  <c r="T14" i="31"/>
  <c r="R14" i="31"/>
  <c r="Q14" i="31"/>
  <c r="A14" i="31"/>
  <c r="T12" i="31"/>
  <c r="R12" i="31"/>
  <c r="Q12" i="31"/>
  <c r="U12" i="31" s="1"/>
  <c r="A12" i="31"/>
  <c r="R11" i="31"/>
  <c r="T11" i="31" s="1"/>
  <c r="Q11" i="31"/>
  <c r="U11" i="31" s="1"/>
  <c r="A11" i="31"/>
  <c r="R10" i="31"/>
  <c r="T10" i="31" s="1"/>
  <c r="Q10" i="31"/>
  <c r="U10" i="31" s="1"/>
  <c r="A10" i="31"/>
  <c r="R9" i="31"/>
  <c r="T9" i="31" s="1"/>
  <c r="Q9" i="31"/>
  <c r="U9" i="31" s="1"/>
  <c r="A9" i="31"/>
  <c r="R7" i="31"/>
  <c r="T7" i="31" s="1"/>
  <c r="Q7" i="31"/>
  <c r="U7" i="31" s="1"/>
  <c r="A7" i="31"/>
  <c r="R6" i="31"/>
  <c r="R18" i="31" s="1"/>
  <c r="Q6" i="31"/>
  <c r="U6" i="31" s="1"/>
  <c r="A6" i="31"/>
  <c r="R5" i="31"/>
  <c r="T5" i="31" s="1"/>
  <c r="Q5" i="31"/>
  <c r="U5" i="31" s="1"/>
  <c r="A5" i="31"/>
  <c r="O3" i="31"/>
  <c r="L33" i="30"/>
  <c r="D81" i="5" s="1"/>
  <c r="P31" i="30"/>
  <c r="O31" i="30"/>
  <c r="N31" i="30"/>
  <c r="M31" i="30"/>
  <c r="L31" i="30"/>
  <c r="K31" i="30"/>
  <c r="J31" i="30"/>
  <c r="I31" i="30"/>
  <c r="H31" i="30"/>
  <c r="G31" i="30"/>
  <c r="F31" i="30"/>
  <c r="E31" i="30"/>
  <c r="D31" i="30"/>
  <c r="C31" i="30"/>
  <c r="R30" i="30"/>
  <c r="T30" i="30" s="1"/>
  <c r="Q30" i="30"/>
  <c r="U30" i="30" s="1"/>
  <c r="A30" i="30"/>
  <c r="R28" i="30"/>
  <c r="T28" i="30" s="1"/>
  <c r="Q28" i="30"/>
  <c r="U28" i="30" s="1"/>
  <c r="A28" i="30"/>
  <c r="R27" i="30"/>
  <c r="T27" i="30" s="1"/>
  <c r="Q27" i="30"/>
  <c r="U27" i="30" s="1"/>
  <c r="A27" i="30"/>
  <c r="T26" i="30"/>
  <c r="R26" i="30"/>
  <c r="Q26" i="30"/>
  <c r="U26" i="30" s="1"/>
  <c r="A26" i="30"/>
  <c r="R24" i="30"/>
  <c r="T24" i="30" s="1"/>
  <c r="Q24" i="30"/>
  <c r="U24" i="30" s="1"/>
  <c r="A24" i="30"/>
  <c r="R23" i="30"/>
  <c r="T23" i="30" s="1"/>
  <c r="Q23" i="30"/>
  <c r="U23" i="30" s="1"/>
  <c r="A23" i="30"/>
  <c r="R22" i="30"/>
  <c r="T22" i="30" s="1"/>
  <c r="Q22" i="30"/>
  <c r="U22" i="30" s="1"/>
  <c r="A22" i="30"/>
  <c r="R20" i="30"/>
  <c r="T20" i="30" s="1"/>
  <c r="Q20" i="30"/>
  <c r="U20" i="30" s="1"/>
  <c r="A20" i="30"/>
  <c r="P18" i="30"/>
  <c r="P33" i="30" s="1"/>
  <c r="D83" i="5" s="1"/>
  <c r="O18" i="30"/>
  <c r="O33" i="30" s="1"/>
  <c r="N18" i="30"/>
  <c r="N33" i="30" s="1"/>
  <c r="D82" i="5" s="1"/>
  <c r="M18" i="30"/>
  <c r="M33" i="30" s="1"/>
  <c r="L18" i="30"/>
  <c r="K18" i="30"/>
  <c r="K33" i="30" s="1"/>
  <c r="J18" i="30"/>
  <c r="J33" i="30" s="1"/>
  <c r="D80" i="5" s="1"/>
  <c r="I18" i="30"/>
  <c r="I33" i="30" s="1"/>
  <c r="H18" i="30"/>
  <c r="H33" i="30" s="1"/>
  <c r="D79" i="5" s="1"/>
  <c r="G18" i="30"/>
  <c r="G33" i="30" s="1"/>
  <c r="F18" i="30"/>
  <c r="F33" i="30" s="1"/>
  <c r="D78" i="5" s="1"/>
  <c r="E18" i="30"/>
  <c r="E33" i="30" s="1"/>
  <c r="D18" i="30"/>
  <c r="D33" i="30" s="1"/>
  <c r="D77" i="5" s="1"/>
  <c r="C18" i="30"/>
  <c r="C33" i="30" s="1"/>
  <c r="R17" i="30"/>
  <c r="T17" i="30" s="1"/>
  <c r="Q17" i="30"/>
  <c r="U17" i="30" s="1"/>
  <c r="A17" i="30"/>
  <c r="R15" i="30"/>
  <c r="T15" i="30" s="1"/>
  <c r="Q15" i="30"/>
  <c r="U15" i="30" s="1"/>
  <c r="A15" i="30"/>
  <c r="R14" i="30"/>
  <c r="T14" i="30" s="1"/>
  <c r="Q14" i="30"/>
  <c r="U14" i="30" s="1"/>
  <c r="A14" i="30"/>
  <c r="R12" i="30"/>
  <c r="T12" i="30" s="1"/>
  <c r="Q12" i="30"/>
  <c r="U12" i="30" s="1"/>
  <c r="A12" i="30"/>
  <c r="R11" i="30"/>
  <c r="T11" i="30" s="1"/>
  <c r="Q11" i="30"/>
  <c r="U11" i="30" s="1"/>
  <c r="A11" i="30"/>
  <c r="R10" i="30"/>
  <c r="T10" i="30" s="1"/>
  <c r="Q10" i="30"/>
  <c r="U10" i="30" s="1"/>
  <c r="A10" i="30"/>
  <c r="R9" i="30"/>
  <c r="T9" i="30" s="1"/>
  <c r="Q9" i="30"/>
  <c r="U9" i="30" s="1"/>
  <c r="A9" i="30"/>
  <c r="R7" i="30"/>
  <c r="T7" i="30" s="1"/>
  <c r="Q7" i="30"/>
  <c r="U7" i="30" s="1"/>
  <c r="A7" i="30"/>
  <c r="R6" i="30"/>
  <c r="R18" i="30" s="1"/>
  <c r="Q6" i="30"/>
  <c r="U6" i="30" s="1"/>
  <c r="A6" i="30"/>
  <c r="R5" i="30"/>
  <c r="T5" i="30" s="1"/>
  <c r="Q5" i="30"/>
  <c r="U5" i="30" s="1"/>
  <c r="A5" i="30"/>
  <c r="O3" i="30"/>
  <c r="P31" i="29"/>
  <c r="O31" i="29"/>
  <c r="N31" i="29"/>
  <c r="M31" i="29"/>
  <c r="L31" i="29"/>
  <c r="K31" i="29"/>
  <c r="J31" i="29"/>
  <c r="I31" i="29"/>
  <c r="H31" i="29"/>
  <c r="G31" i="29"/>
  <c r="F31" i="29"/>
  <c r="E31" i="29"/>
  <c r="D31" i="29"/>
  <c r="C31" i="29"/>
  <c r="U30" i="29"/>
  <c r="T30" i="29"/>
  <c r="R30" i="29"/>
  <c r="Q30" i="29"/>
  <c r="A30" i="29"/>
  <c r="R28" i="29"/>
  <c r="T28" i="29" s="1"/>
  <c r="Q28" i="29"/>
  <c r="U28" i="29" s="1"/>
  <c r="A28" i="29"/>
  <c r="R27" i="29"/>
  <c r="T27" i="29" s="1"/>
  <c r="Q27" i="29"/>
  <c r="U27" i="29" s="1"/>
  <c r="A27" i="29"/>
  <c r="R26" i="29"/>
  <c r="T26" i="29" s="1"/>
  <c r="Q26" i="29"/>
  <c r="U26" i="29" s="1"/>
  <c r="A26" i="29"/>
  <c r="R24" i="29"/>
  <c r="T24" i="29" s="1"/>
  <c r="Q24" i="29"/>
  <c r="U24" i="29" s="1"/>
  <c r="A24" i="29"/>
  <c r="R23" i="29"/>
  <c r="T23" i="29" s="1"/>
  <c r="Q23" i="29"/>
  <c r="U23" i="29" s="1"/>
  <c r="A23" i="29"/>
  <c r="R22" i="29"/>
  <c r="T22" i="29" s="1"/>
  <c r="Q22" i="29"/>
  <c r="U22" i="29" s="1"/>
  <c r="A22" i="29"/>
  <c r="R20" i="29"/>
  <c r="T20" i="29" s="1"/>
  <c r="Q20" i="29"/>
  <c r="U20" i="29" s="1"/>
  <c r="A20" i="29"/>
  <c r="P18" i="29"/>
  <c r="P33" i="29" s="1"/>
  <c r="D76" i="5" s="1"/>
  <c r="O18" i="29"/>
  <c r="O33" i="29" s="1"/>
  <c r="N18" i="29"/>
  <c r="N33" i="29" s="1"/>
  <c r="D75" i="5" s="1"/>
  <c r="M18" i="29"/>
  <c r="M33" i="29" s="1"/>
  <c r="L18" i="29"/>
  <c r="L33" i="29" s="1"/>
  <c r="D74" i="5" s="1"/>
  <c r="K18" i="29"/>
  <c r="K33" i="29" s="1"/>
  <c r="J18" i="29"/>
  <c r="J33" i="29" s="1"/>
  <c r="D73" i="5" s="1"/>
  <c r="I18" i="29"/>
  <c r="I33" i="29" s="1"/>
  <c r="H18" i="29"/>
  <c r="H33" i="29" s="1"/>
  <c r="T67" i="5" s="1"/>
  <c r="G18" i="29"/>
  <c r="G33" i="29" s="1"/>
  <c r="F18" i="29"/>
  <c r="F33" i="29" s="1"/>
  <c r="T66" i="5" s="1"/>
  <c r="E18" i="29"/>
  <c r="E33" i="29" s="1"/>
  <c r="D18" i="29"/>
  <c r="D33" i="29" s="1"/>
  <c r="T65" i="5" s="1"/>
  <c r="C18" i="29"/>
  <c r="C33" i="29" s="1"/>
  <c r="R17" i="29"/>
  <c r="T17" i="29" s="1"/>
  <c r="Q17" i="29"/>
  <c r="U17" i="29" s="1"/>
  <c r="A17" i="29"/>
  <c r="R15" i="29"/>
  <c r="T15" i="29" s="1"/>
  <c r="Q15" i="29"/>
  <c r="U15" i="29" s="1"/>
  <c r="A15" i="29"/>
  <c r="R14" i="29"/>
  <c r="T14" i="29" s="1"/>
  <c r="Q14" i="29"/>
  <c r="U14" i="29" s="1"/>
  <c r="A14" i="29"/>
  <c r="R12" i="29"/>
  <c r="T12" i="29" s="1"/>
  <c r="Q12" i="29"/>
  <c r="U12" i="29" s="1"/>
  <c r="A12" i="29"/>
  <c r="T11" i="29"/>
  <c r="R11" i="29"/>
  <c r="Q11" i="29"/>
  <c r="U11" i="29" s="1"/>
  <c r="A11" i="29"/>
  <c r="U10" i="29"/>
  <c r="R10" i="29"/>
  <c r="Q10" i="29"/>
  <c r="A10" i="29"/>
  <c r="R9" i="29"/>
  <c r="T9" i="29" s="1"/>
  <c r="Q9" i="29"/>
  <c r="U9" i="29" s="1"/>
  <c r="A9" i="29"/>
  <c r="R7" i="29"/>
  <c r="T7" i="29" s="1"/>
  <c r="Q7" i="29"/>
  <c r="U7" i="29" s="1"/>
  <c r="A7" i="29"/>
  <c r="R6" i="29"/>
  <c r="T6" i="29" s="1"/>
  <c r="Q6" i="29"/>
  <c r="U6" i="29" s="1"/>
  <c r="A6" i="29"/>
  <c r="R5" i="29"/>
  <c r="Q5" i="29"/>
  <c r="U5" i="29" s="1"/>
  <c r="A5" i="29"/>
  <c r="I3" i="29"/>
  <c r="O3" i="29"/>
  <c r="O33" i="28"/>
  <c r="P31" i="28"/>
  <c r="O31" i="28"/>
  <c r="N31" i="28"/>
  <c r="M31" i="28"/>
  <c r="L31" i="28"/>
  <c r="K31" i="28"/>
  <c r="J31" i="28"/>
  <c r="I31" i="28"/>
  <c r="H31" i="28"/>
  <c r="G31" i="28"/>
  <c r="F31" i="28"/>
  <c r="E31" i="28"/>
  <c r="D31" i="28"/>
  <c r="C31" i="28"/>
  <c r="R30" i="28"/>
  <c r="T30" i="28" s="1"/>
  <c r="Q30" i="28"/>
  <c r="U30" i="28" s="1"/>
  <c r="A30" i="28"/>
  <c r="U28" i="28"/>
  <c r="T28" i="28"/>
  <c r="R28" i="28"/>
  <c r="Q28" i="28"/>
  <c r="A28" i="28"/>
  <c r="R27" i="28"/>
  <c r="T27" i="28" s="1"/>
  <c r="Q27" i="28"/>
  <c r="U27" i="28" s="1"/>
  <c r="A27" i="28"/>
  <c r="R26" i="28"/>
  <c r="T26" i="28" s="1"/>
  <c r="Q26" i="28"/>
  <c r="U26" i="28" s="1"/>
  <c r="A26" i="28"/>
  <c r="R24" i="28"/>
  <c r="T24" i="28" s="1"/>
  <c r="Q24" i="28"/>
  <c r="U24" i="28" s="1"/>
  <c r="A24" i="28"/>
  <c r="R23" i="28"/>
  <c r="T23" i="28" s="1"/>
  <c r="Q23" i="28"/>
  <c r="U23" i="28" s="1"/>
  <c r="A23" i="28"/>
  <c r="R22" i="28"/>
  <c r="T22" i="28" s="1"/>
  <c r="Q22" i="28"/>
  <c r="U22" i="28" s="1"/>
  <c r="A22" i="28"/>
  <c r="R20" i="28"/>
  <c r="T20" i="28" s="1"/>
  <c r="Q20" i="28"/>
  <c r="U20" i="28" s="1"/>
  <c r="A20" i="28"/>
  <c r="P18" i="28"/>
  <c r="P33" i="28" s="1"/>
  <c r="T64" i="5" s="1"/>
  <c r="O18" i="28"/>
  <c r="N18" i="28"/>
  <c r="N33" i="28" s="1"/>
  <c r="T63" i="5" s="1"/>
  <c r="M18" i="28"/>
  <c r="M33" i="28" s="1"/>
  <c r="L18" i="28"/>
  <c r="L33" i="28" s="1"/>
  <c r="T62" i="5" s="1"/>
  <c r="K18" i="28"/>
  <c r="K33" i="28" s="1"/>
  <c r="J18" i="28"/>
  <c r="J33" i="28" s="1"/>
  <c r="T61" i="5" s="1"/>
  <c r="I18" i="28"/>
  <c r="I33" i="28" s="1"/>
  <c r="H18" i="28"/>
  <c r="H33" i="28" s="1"/>
  <c r="T60" i="5" s="1"/>
  <c r="G18" i="28"/>
  <c r="G33" i="28" s="1"/>
  <c r="F18" i="28"/>
  <c r="F33" i="28" s="1"/>
  <c r="T59" i="5" s="1"/>
  <c r="E18" i="28"/>
  <c r="E33" i="28" s="1"/>
  <c r="D18" i="28"/>
  <c r="D33" i="28" s="1"/>
  <c r="T58" i="5" s="1"/>
  <c r="C18" i="28"/>
  <c r="C33" i="28" s="1"/>
  <c r="R17" i="28"/>
  <c r="T17" i="28" s="1"/>
  <c r="Q17" i="28"/>
  <c r="U17" i="28" s="1"/>
  <c r="A17" i="28"/>
  <c r="R15" i="28"/>
  <c r="T15" i="28" s="1"/>
  <c r="Q15" i="28"/>
  <c r="U15" i="28" s="1"/>
  <c r="A15" i="28"/>
  <c r="R14" i="28"/>
  <c r="T14" i="28" s="1"/>
  <c r="Q14" i="28"/>
  <c r="U14" i="28" s="1"/>
  <c r="A14" i="28"/>
  <c r="U12" i="28"/>
  <c r="R12" i="28"/>
  <c r="T12" i="28" s="1"/>
  <c r="Q12" i="28"/>
  <c r="A12" i="28"/>
  <c r="R11" i="28"/>
  <c r="T11" i="28" s="1"/>
  <c r="Q11" i="28"/>
  <c r="U11" i="28" s="1"/>
  <c r="A11" i="28"/>
  <c r="R10" i="28"/>
  <c r="T10" i="28" s="1"/>
  <c r="Q10" i="28"/>
  <c r="U10" i="28" s="1"/>
  <c r="A10" i="28"/>
  <c r="R9" i="28"/>
  <c r="T9" i="28" s="1"/>
  <c r="Q9" i="28"/>
  <c r="U9" i="28" s="1"/>
  <c r="A9" i="28"/>
  <c r="R7" i="28"/>
  <c r="T7" i="28" s="1"/>
  <c r="Q7" i="28"/>
  <c r="U7" i="28" s="1"/>
  <c r="A7" i="28"/>
  <c r="R6" i="28"/>
  <c r="T6" i="28" s="1"/>
  <c r="Q6" i="28"/>
  <c r="U6" i="28" s="1"/>
  <c r="A6" i="28"/>
  <c r="U5" i="28"/>
  <c r="R5" i="28"/>
  <c r="Q5" i="28"/>
  <c r="A5" i="28"/>
  <c r="O3" i="28"/>
  <c r="G3" i="28"/>
  <c r="M3" i="28"/>
  <c r="E33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U30" i="27"/>
  <c r="T30" i="27"/>
  <c r="R30" i="27"/>
  <c r="Q30" i="27"/>
  <c r="A30" i="27"/>
  <c r="R28" i="27"/>
  <c r="T28" i="27" s="1"/>
  <c r="Q28" i="27"/>
  <c r="U28" i="27" s="1"/>
  <c r="A28" i="27"/>
  <c r="R27" i="27"/>
  <c r="T27" i="27" s="1"/>
  <c r="Q27" i="27"/>
  <c r="U27" i="27" s="1"/>
  <c r="A27" i="27"/>
  <c r="R26" i="27"/>
  <c r="T26" i="27" s="1"/>
  <c r="Q26" i="27"/>
  <c r="U26" i="27" s="1"/>
  <c r="A26" i="27"/>
  <c r="T24" i="27"/>
  <c r="R24" i="27"/>
  <c r="Q24" i="27"/>
  <c r="U24" i="27" s="1"/>
  <c r="A24" i="27"/>
  <c r="U23" i="27"/>
  <c r="R23" i="27"/>
  <c r="T23" i="27" s="1"/>
  <c r="Q23" i="27"/>
  <c r="A23" i="27"/>
  <c r="R22" i="27"/>
  <c r="T22" i="27" s="1"/>
  <c r="Q22" i="27"/>
  <c r="U22" i="27" s="1"/>
  <c r="A22" i="27"/>
  <c r="U20" i="27"/>
  <c r="R20" i="27"/>
  <c r="T20" i="27" s="1"/>
  <c r="Q20" i="27"/>
  <c r="A20" i="27"/>
  <c r="P18" i="27"/>
  <c r="P33" i="27" s="1"/>
  <c r="T57" i="5" s="1"/>
  <c r="O18" i="27"/>
  <c r="O33" i="27" s="1"/>
  <c r="N18" i="27"/>
  <c r="N33" i="27" s="1"/>
  <c r="T56" i="5" s="1"/>
  <c r="M18" i="27"/>
  <c r="M33" i="27" s="1"/>
  <c r="L18" i="27"/>
  <c r="L33" i="27" s="1"/>
  <c r="T55" i="5" s="1"/>
  <c r="K18" i="27"/>
  <c r="K33" i="27" s="1"/>
  <c r="J18" i="27"/>
  <c r="J33" i="27" s="1"/>
  <c r="T54" i="5" s="1"/>
  <c r="I18" i="27"/>
  <c r="I33" i="27" s="1"/>
  <c r="H18" i="27"/>
  <c r="H33" i="27" s="1"/>
  <c r="T53" i="5" s="1"/>
  <c r="G18" i="27"/>
  <c r="G33" i="27" s="1"/>
  <c r="F18" i="27"/>
  <c r="F33" i="27" s="1"/>
  <c r="T52" i="5" s="1"/>
  <c r="E18" i="27"/>
  <c r="D18" i="27"/>
  <c r="D33" i="27" s="1"/>
  <c r="T51" i="5" s="1"/>
  <c r="C18" i="27"/>
  <c r="C33" i="27" s="1"/>
  <c r="R17" i="27"/>
  <c r="T17" i="27" s="1"/>
  <c r="Q17" i="27"/>
  <c r="U17" i="27" s="1"/>
  <c r="A17" i="27"/>
  <c r="R15" i="27"/>
  <c r="T15" i="27" s="1"/>
  <c r="Q15" i="27"/>
  <c r="U15" i="27" s="1"/>
  <c r="A15" i="27"/>
  <c r="U14" i="27"/>
  <c r="R14" i="27"/>
  <c r="T14" i="27" s="1"/>
  <c r="Q14" i="27"/>
  <c r="A14" i="27"/>
  <c r="U12" i="27"/>
  <c r="T12" i="27"/>
  <c r="R12" i="27"/>
  <c r="Q12" i="27"/>
  <c r="A12" i="27"/>
  <c r="R11" i="27"/>
  <c r="T11" i="27" s="1"/>
  <c r="Q11" i="27"/>
  <c r="U11" i="27" s="1"/>
  <c r="A11" i="27"/>
  <c r="R10" i="27"/>
  <c r="T10" i="27" s="1"/>
  <c r="Q10" i="27"/>
  <c r="U10" i="27" s="1"/>
  <c r="A10" i="27"/>
  <c r="R9" i="27"/>
  <c r="T9" i="27" s="1"/>
  <c r="Q9" i="27"/>
  <c r="U9" i="27" s="1"/>
  <c r="A9" i="27"/>
  <c r="R7" i="27"/>
  <c r="T7" i="27" s="1"/>
  <c r="Q7" i="27"/>
  <c r="U7" i="27" s="1"/>
  <c r="A7" i="27"/>
  <c r="R6" i="27"/>
  <c r="T6" i="27" s="1"/>
  <c r="Q6" i="27"/>
  <c r="U6" i="27" s="1"/>
  <c r="A6" i="27"/>
  <c r="R5" i="27"/>
  <c r="Q5" i="27"/>
  <c r="U5" i="27" s="1"/>
  <c r="A5" i="27"/>
  <c r="I3" i="27"/>
  <c r="O3" i="27"/>
  <c r="P31" i="26"/>
  <c r="O31" i="26"/>
  <c r="N31" i="26"/>
  <c r="M31" i="26"/>
  <c r="L31" i="26"/>
  <c r="K31" i="26"/>
  <c r="J31" i="26"/>
  <c r="I31" i="26"/>
  <c r="H31" i="26"/>
  <c r="G31" i="26"/>
  <c r="F31" i="26"/>
  <c r="E31" i="26"/>
  <c r="D31" i="26"/>
  <c r="C31" i="26"/>
  <c r="T30" i="26"/>
  <c r="R30" i="26"/>
  <c r="Q30" i="26"/>
  <c r="U30" i="26" s="1"/>
  <c r="A30" i="26"/>
  <c r="U28" i="26"/>
  <c r="R28" i="26"/>
  <c r="T28" i="26" s="1"/>
  <c r="Q28" i="26"/>
  <c r="A28" i="26"/>
  <c r="R27" i="26"/>
  <c r="T27" i="26" s="1"/>
  <c r="Q27" i="26"/>
  <c r="U27" i="26" s="1"/>
  <c r="A27" i="26"/>
  <c r="R26" i="26"/>
  <c r="T26" i="26" s="1"/>
  <c r="Q26" i="26"/>
  <c r="U26" i="26" s="1"/>
  <c r="A26" i="26"/>
  <c r="T24" i="26"/>
  <c r="R24" i="26"/>
  <c r="Q24" i="26"/>
  <c r="U24" i="26" s="1"/>
  <c r="A24" i="26"/>
  <c r="U23" i="26"/>
  <c r="R23" i="26"/>
  <c r="T23" i="26" s="1"/>
  <c r="Q23" i="26"/>
  <c r="A23" i="26"/>
  <c r="R22" i="26"/>
  <c r="T22" i="26" s="1"/>
  <c r="Q22" i="26"/>
  <c r="U22" i="26" s="1"/>
  <c r="A22" i="26"/>
  <c r="U20" i="26"/>
  <c r="R20" i="26"/>
  <c r="T20" i="26" s="1"/>
  <c r="Q20" i="26"/>
  <c r="A20" i="26"/>
  <c r="P18" i="26"/>
  <c r="P33" i="26" s="1"/>
  <c r="T50" i="5" s="1"/>
  <c r="O18" i="26"/>
  <c r="O33" i="26" s="1"/>
  <c r="N18" i="26"/>
  <c r="N33" i="26" s="1"/>
  <c r="T49" i="5" s="1"/>
  <c r="M18" i="26"/>
  <c r="M33" i="26" s="1"/>
  <c r="L18" i="26"/>
  <c r="L33" i="26" s="1"/>
  <c r="T48" i="5" s="1"/>
  <c r="K18" i="26"/>
  <c r="K33" i="26" s="1"/>
  <c r="J18" i="26"/>
  <c r="J33" i="26" s="1"/>
  <c r="T47" i="5" s="1"/>
  <c r="I18" i="26"/>
  <c r="I33" i="26" s="1"/>
  <c r="H18" i="26"/>
  <c r="H33" i="26" s="1"/>
  <c r="T46" i="5" s="1"/>
  <c r="G18" i="26"/>
  <c r="G33" i="26" s="1"/>
  <c r="F18" i="26"/>
  <c r="F33" i="26" s="1"/>
  <c r="T45" i="5" s="1"/>
  <c r="E18" i="26"/>
  <c r="E33" i="26" s="1"/>
  <c r="D18" i="26"/>
  <c r="D33" i="26" s="1"/>
  <c r="T44" i="5" s="1"/>
  <c r="C18" i="26"/>
  <c r="C33" i="26" s="1"/>
  <c r="R17" i="26"/>
  <c r="T17" i="26" s="1"/>
  <c r="Q17" i="26"/>
  <c r="U17" i="26" s="1"/>
  <c r="A17" i="26"/>
  <c r="R15" i="26"/>
  <c r="T15" i="26" s="1"/>
  <c r="Q15" i="26"/>
  <c r="U15" i="26" s="1"/>
  <c r="A15" i="26"/>
  <c r="U14" i="26"/>
  <c r="R14" i="26"/>
  <c r="T14" i="26" s="1"/>
  <c r="Q14" i="26"/>
  <c r="A14" i="26"/>
  <c r="T12" i="26"/>
  <c r="R12" i="26"/>
  <c r="Q12" i="26"/>
  <c r="U12" i="26" s="1"/>
  <c r="A12" i="26"/>
  <c r="U11" i="26"/>
  <c r="R11" i="26"/>
  <c r="T11" i="26" s="1"/>
  <c r="Q11" i="26"/>
  <c r="A11" i="26"/>
  <c r="R10" i="26"/>
  <c r="T10" i="26" s="1"/>
  <c r="Q10" i="26"/>
  <c r="U10" i="26" s="1"/>
  <c r="A10" i="26"/>
  <c r="R9" i="26"/>
  <c r="T9" i="26" s="1"/>
  <c r="Q9" i="26"/>
  <c r="U9" i="26" s="1"/>
  <c r="A9" i="26"/>
  <c r="T7" i="26"/>
  <c r="R7" i="26"/>
  <c r="Q7" i="26"/>
  <c r="U7" i="26" s="1"/>
  <c r="A7" i="26"/>
  <c r="R6" i="26"/>
  <c r="T6" i="26" s="1"/>
  <c r="Q6" i="26"/>
  <c r="U6" i="26" s="1"/>
  <c r="A6" i="26"/>
  <c r="R5" i="26"/>
  <c r="Q5" i="26"/>
  <c r="U5" i="26" s="1"/>
  <c r="A5" i="26"/>
  <c r="I3" i="26"/>
  <c r="O3" i="26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R30" i="25"/>
  <c r="T30" i="25" s="1"/>
  <c r="Q30" i="25"/>
  <c r="U30" i="25" s="1"/>
  <c r="A30" i="25"/>
  <c r="T28" i="25"/>
  <c r="R28" i="25"/>
  <c r="Q28" i="25"/>
  <c r="U28" i="25" s="1"/>
  <c r="A28" i="25"/>
  <c r="R27" i="25"/>
  <c r="T27" i="25" s="1"/>
  <c r="Q27" i="25"/>
  <c r="U27" i="25" s="1"/>
  <c r="A27" i="25"/>
  <c r="R26" i="25"/>
  <c r="T26" i="25" s="1"/>
  <c r="Q26" i="25"/>
  <c r="U26" i="25" s="1"/>
  <c r="A26" i="25"/>
  <c r="R24" i="25"/>
  <c r="T24" i="25" s="1"/>
  <c r="Q24" i="25"/>
  <c r="U24" i="25" s="1"/>
  <c r="A24" i="25"/>
  <c r="U23" i="25"/>
  <c r="R23" i="25"/>
  <c r="T23" i="25" s="1"/>
  <c r="Q23" i="25"/>
  <c r="A23" i="25"/>
  <c r="R22" i="25"/>
  <c r="T22" i="25" s="1"/>
  <c r="Q22" i="25"/>
  <c r="U22" i="25" s="1"/>
  <c r="A22" i="25"/>
  <c r="U20" i="25"/>
  <c r="R20" i="25"/>
  <c r="T20" i="25" s="1"/>
  <c r="Q20" i="25"/>
  <c r="A20" i="25"/>
  <c r="P18" i="25"/>
  <c r="P33" i="25" s="1"/>
  <c r="T43" i="5" s="1"/>
  <c r="O18" i="25"/>
  <c r="O33" i="25" s="1"/>
  <c r="N18" i="25"/>
  <c r="N33" i="25" s="1"/>
  <c r="T42" i="5" s="1"/>
  <c r="M18" i="25"/>
  <c r="M33" i="25" s="1"/>
  <c r="L18" i="25"/>
  <c r="L33" i="25" s="1"/>
  <c r="T41" i="5" s="1"/>
  <c r="K18" i="25"/>
  <c r="K33" i="25" s="1"/>
  <c r="J18" i="25"/>
  <c r="J33" i="25" s="1"/>
  <c r="T40" i="5" s="1"/>
  <c r="I18" i="25"/>
  <c r="I33" i="25" s="1"/>
  <c r="H18" i="25"/>
  <c r="H33" i="25" s="1"/>
  <c r="T39" i="5" s="1"/>
  <c r="G18" i="25"/>
  <c r="G33" i="25" s="1"/>
  <c r="F18" i="25"/>
  <c r="F33" i="25" s="1"/>
  <c r="T38" i="5" s="1"/>
  <c r="E18" i="25"/>
  <c r="E33" i="25" s="1"/>
  <c r="D18" i="25"/>
  <c r="D33" i="25" s="1"/>
  <c r="L68" i="5" s="1"/>
  <c r="C18" i="25"/>
  <c r="C33" i="25" s="1"/>
  <c r="R17" i="25"/>
  <c r="T17" i="25" s="1"/>
  <c r="Q17" i="25"/>
  <c r="U17" i="25" s="1"/>
  <c r="A17" i="25"/>
  <c r="R15" i="25"/>
  <c r="T15" i="25" s="1"/>
  <c r="Q15" i="25"/>
  <c r="U15" i="25" s="1"/>
  <c r="A15" i="25"/>
  <c r="R14" i="25"/>
  <c r="T14" i="25" s="1"/>
  <c r="Q14" i="25"/>
  <c r="U14" i="25" s="1"/>
  <c r="A14" i="25"/>
  <c r="R12" i="25"/>
  <c r="T12" i="25" s="1"/>
  <c r="Q12" i="25"/>
  <c r="U12" i="25" s="1"/>
  <c r="A12" i="25"/>
  <c r="T11" i="25"/>
  <c r="R11" i="25"/>
  <c r="Q11" i="25"/>
  <c r="U11" i="25" s="1"/>
  <c r="A11" i="25"/>
  <c r="R10" i="25"/>
  <c r="Q10" i="25"/>
  <c r="U10" i="25" s="1"/>
  <c r="A10" i="25"/>
  <c r="R9" i="25"/>
  <c r="T9" i="25" s="1"/>
  <c r="Q9" i="25"/>
  <c r="U9" i="25" s="1"/>
  <c r="A9" i="25"/>
  <c r="R7" i="25"/>
  <c r="T7" i="25" s="1"/>
  <c r="Q7" i="25"/>
  <c r="U7" i="25" s="1"/>
  <c r="A7" i="25"/>
  <c r="R6" i="25"/>
  <c r="T6" i="25" s="1"/>
  <c r="Q6" i="25"/>
  <c r="U6" i="25" s="1"/>
  <c r="A6" i="25"/>
  <c r="R5" i="25"/>
  <c r="Q5" i="25"/>
  <c r="U5" i="25" s="1"/>
  <c r="A5" i="25"/>
  <c r="I3" i="25"/>
  <c r="O3" i="25"/>
  <c r="P31" i="24"/>
  <c r="O31" i="24"/>
  <c r="N31" i="24"/>
  <c r="M31" i="24"/>
  <c r="L31" i="24"/>
  <c r="K31" i="24"/>
  <c r="J31" i="24"/>
  <c r="I31" i="24"/>
  <c r="H31" i="24"/>
  <c r="G31" i="24"/>
  <c r="F31" i="24"/>
  <c r="E31" i="24"/>
  <c r="D31" i="24"/>
  <c r="C31" i="24"/>
  <c r="R30" i="24"/>
  <c r="T30" i="24" s="1"/>
  <c r="Q30" i="24"/>
  <c r="U30" i="24" s="1"/>
  <c r="A30" i="24"/>
  <c r="R28" i="24"/>
  <c r="T28" i="24" s="1"/>
  <c r="Q28" i="24"/>
  <c r="U28" i="24" s="1"/>
  <c r="A28" i="24"/>
  <c r="R27" i="24"/>
  <c r="T27" i="24" s="1"/>
  <c r="Q27" i="24"/>
  <c r="U27" i="24" s="1"/>
  <c r="A27" i="24"/>
  <c r="R26" i="24"/>
  <c r="T26" i="24" s="1"/>
  <c r="Q26" i="24"/>
  <c r="U26" i="24" s="1"/>
  <c r="A26" i="24"/>
  <c r="R24" i="24"/>
  <c r="T24" i="24" s="1"/>
  <c r="Q24" i="24"/>
  <c r="U24" i="24" s="1"/>
  <c r="A24" i="24"/>
  <c r="R23" i="24"/>
  <c r="T23" i="24" s="1"/>
  <c r="Q23" i="24"/>
  <c r="U23" i="24" s="1"/>
  <c r="A23" i="24"/>
  <c r="R22" i="24"/>
  <c r="T22" i="24" s="1"/>
  <c r="Q22" i="24"/>
  <c r="U22" i="24" s="1"/>
  <c r="A22" i="24"/>
  <c r="U20" i="24"/>
  <c r="R20" i="24"/>
  <c r="T20" i="24" s="1"/>
  <c r="Q20" i="24"/>
  <c r="A20" i="24"/>
  <c r="P18" i="24"/>
  <c r="P33" i="24" s="1"/>
  <c r="L67" i="5" s="1"/>
  <c r="O18" i="24"/>
  <c r="O33" i="24" s="1"/>
  <c r="N18" i="24"/>
  <c r="N33" i="24" s="1"/>
  <c r="L66" i="5" s="1"/>
  <c r="M18" i="24"/>
  <c r="M33" i="24" s="1"/>
  <c r="L18" i="24"/>
  <c r="L33" i="24" s="1"/>
  <c r="L65" i="5" s="1"/>
  <c r="K18" i="24"/>
  <c r="K33" i="24" s="1"/>
  <c r="J18" i="24"/>
  <c r="J33" i="24" s="1"/>
  <c r="L64" i="5" s="1"/>
  <c r="I18" i="24"/>
  <c r="I33" i="24" s="1"/>
  <c r="H18" i="24"/>
  <c r="H33" i="24" s="1"/>
  <c r="L63" i="5" s="1"/>
  <c r="G18" i="24"/>
  <c r="G33" i="24" s="1"/>
  <c r="F18" i="24"/>
  <c r="F33" i="24" s="1"/>
  <c r="L62" i="5" s="1"/>
  <c r="E18" i="24"/>
  <c r="E33" i="24" s="1"/>
  <c r="D18" i="24"/>
  <c r="D33" i="24" s="1"/>
  <c r="L61" i="5" s="1"/>
  <c r="C18" i="24"/>
  <c r="C33" i="24" s="1"/>
  <c r="R17" i="24"/>
  <c r="T17" i="24" s="1"/>
  <c r="Q17" i="24"/>
  <c r="U17" i="24" s="1"/>
  <c r="A17" i="24"/>
  <c r="R15" i="24"/>
  <c r="T15" i="24" s="1"/>
  <c r="Q15" i="24"/>
  <c r="U15" i="24" s="1"/>
  <c r="A15" i="24"/>
  <c r="U14" i="24"/>
  <c r="R14" i="24"/>
  <c r="T14" i="24" s="1"/>
  <c r="Q14" i="24"/>
  <c r="A14" i="24"/>
  <c r="R12" i="24"/>
  <c r="T12" i="24" s="1"/>
  <c r="Q12" i="24"/>
  <c r="U12" i="24" s="1"/>
  <c r="A12" i="24"/>
  <c r="R11" i="24"/>
  <c r="T11" i="24" s="1"/>
  <c r="Q11" i="24"/>
  <c r="U11" i="24" s="1"/>
  <c r="A11" i="24"/>
  <c r="R10" i="24"/>
  <c r="T10" i="24" s="1"/>
  <c r="Q10" i="24"/>
  <c r="U10" i="24" s="1"/>
  <c r="A10" i="24"/>
  <c r="R9" i="24"/>
  <c r="T9" i="24" s="1"/>
  <c r="Q9" i="24"/>
  <c r="U9" i="24" s="1"/>
  <c r="A9" i="24"/>
  <c r="R7" i="24"/>
  <c r="T7" i="24" s="1"/>
  <c r="Q7" i="24"/>
  <c r="U7" i="24" s="1"/>
  <c r="A7" i="24"/>
  <c r="R6" i="24"/>
  <c r="T6" i="24" s="1"/>
  <c r="Q6" i="24"/>
  <c r="U6" i="24" s="1"/>
  <c r="A6" i="24"/>
  <c r="R5" i="24"/>
  <c r="R18" i="24" s="1"/>
  <c r="Q5" i="24"/>
  <c r="U5" i="24" s="1"/>
  <c r="A5" i="24"/>
  <c r="O3" i="24"/>
  <c r="P31" i="23"/>
  <c r="O31" i="23"/>
  <c r="N31" i="23"/>
  <c r="M31" i="23"/>
  <c r="L31" i="23"/>
  <c r="K31" i="23"/>
  <c r="J31" i="23"/>
  <c r="I31" i="23"/>
  <c r="H31" i="23"/>
  <c r="G31" i="23"/>
  <c r="F31" i="23"/>
  <c r="E31" i="23"/>
  <c r="D31" i="23"/>
  <c r="C31" i="23"/>
  <c r="R30" i="23"/>
  <c r="T30" i="23" s="1"/>
  <c r="Q30" i="23"/>
  <c r="U30" i="23" s="1"/>
  <c r="A30" i="23"/>
  <c r="R28" i="23"/>
  <c r="T28" i="23" s="1"/>
  <c r="Q28" i="23"/>
  <c r="U28" i="23" s="1"/>
  <c r="A28" i="23"/>
  <c r="U27" i="23"/>
  <c r="R27" i="23"/>
  <c r="T27" i="23" s="1"/>
  <c r="Q27" i="23"/>
  <c r="A27" i="23"/>
  <c r="R26" i="23"/>
  <c r="T26" i="23" s="1"/>
  <c r="Q26" i="23"/>
  <c r="U26" i="23" s="1"/>
  <c r="A26" i="23"/>
  <c r="U24" i="23"/>
  <c r="R24" i="23"/>
  <c r="T24" i="23" s="1"/>
  <c r="Q24" i="23"/>
  <c r="A24" i="23"/>
  <c r="U23" i="23"/>
  <c r="R23" i="23"/>
  <c r="T23" i="23" s="1"/>
  <c r="Q23" i="23"/>
  <c r="A23" i="23"/>
  <c r="R22" i="23"/>
  <c r="T22" i="23" s="1"/>
  <c r="Q22" i="23"/>
  <c r="U22" i="23" s="1"/>
  <c r="A22" i="23"/>
  <c r="U20" i="23"/>
  <c r="R20" i="23"/>
  <c r="T20" i="23" s="1"/>
  <c r="Q20" i="23"/>
  <c r="A20" i="23"/>
  <c r="P18" i="23"/>
  <c r="P33" i="23" s="1"/>
  <c r="L60" i="5" s="1"/>
  <c r="O18" i="23"/>
  <c r="O33" i="23" s="1"/>
  <c r="N18" i="23"/>
  <c r="N33" i="23" s="1"/>
  <c r="L59" i="5" s="1"/>
  <c r="M18" i="23"/>
  <c r="M33" i="23" s="1"/>
  <c r="L18" i="23"/>
  <c r="L33" i="23" s="1"/>
  <c r="L58" i="5" s="1"/>
  <c r="K18" i="23"/>
  <c r="K33" i="23" s="1"/>
  <c r="J18" i="23"/>
  <c r="J33" i="23" s="1"/>
  <c r="L57" i="5" s="1"/>
  <c r="I18" i="23"/>
  <c r="I33" i="23" s="1"/>
  <c r="H18" i="23"/>
  <c r="H33" i="23" s="1"/>
  <c r="L56" i="5" s="1"/>
  <c r="G18" i="23"/>
  <c r="G33" i="23" s="1"/>
  <c r="F18" i="23"/>
  <c r="F33" i="23" s="1"/>
  <c r="L55" i="5" s="1"/>
  <c r="E18" i="23"/>
  <c r="E33" i="23" s="1"/>
  <c r="D18" i="23"/>
  <c r="D33" i="23" s="1"/>
  <c r="L54" i="5" s="1"/>
  <c r="C18" i="23"/>
  <c r="C33" i="23" s="1"/>
  <c r="R17" i="23"/>
  <c r="T17" i="23" s="1"/>
  <c r="Q17" i="23"/>
  <c r="U17" i="23" s="1"/>
  <c r="A17" i="23"/>
  <c r="R15" i="23"/>
  <c r="T15" i="23" s="1"/>
  <c r="Q15" i="23"/>
  <c r="U15" i="23" s="1"/>
  <c r="A15" i="23"/>
  <c r="U14" i="23"/>
  <c r="R14" i="23"/>
  <c r="T14" i="23" s="1"/>
  <c r="Q14" i="23"/>
  <c r="A14" i="23"/>
  <c r="R12" i="23"/>
  <c r="T12" i="23" s="1"/>
  <c r="Q12" i="23"/>
  <c r="U12" i="23" s="1"/>
  <c r="A12" i="23"/>
  <c r="R11" i="23"/>
  <c r="T11" i="23" s="1"/>
  <c r="Q11" i="23"/>
  <c r="U11" i="23" s="1"/>
  <c r="A11" i="23"/>
  <c r="R10" i="23"/>
  <c r="T10" i="23" s="1"/>
  <c r="Q10" i="23"/>
  <c r="U10" i="23" s="1"/>
  <c r="A10" i="23"/>
  <c r="R9" i="23"/>
  <c r="T9" i="23" s="1"/>
  <c r="Q9" i="23"/>
  <c r="U9" i="23" s="1"/>
  <c r="A9" i="23"/>
  <c r="U7" i="23"/>
  <c r="R7" i="23"/>
  <c r="T7" i="23" s="1"/>
  <c r="Q7" i="23"/>
  <c r="A7" i="23"/>
  <c r="U6" i="23"/>
  <c r="R6" i="23"/>
  <c r="T6" i="23" s="1"/>
  <c r="Q6" i="23"/>
  <c r="A6" i="23"/>
  <c r="R5" i="23"/>
  <c r="Q5" i="23"/>
  <c r="U5" i="23" s="1"/>
  <c r="A5" i="23"/>
  <c r="M3" i="23"/>
  <c r="E3" i="23"/>
  <c r="O3" i="23"/>
  <c r="P31" i="22"/>
  <c r="O31" i="22"/>
  <c r="N31" i="22"/>
  <c r="M31" i="22"/>
  <c r="L31" i="22"/>
  <c r="K31" i="22"/>
  <c r="J31" i="22"/>
  <c r="I31" i="22"/>
  <c r="H31" i="22"/>
  <c r="G31" i="22"/>
  <c r="F31" i="22"/>
  <c r="E31" i="22"/>
  <c r="D31" i="22"/>
  <c r="C31" i="22"/>
  <c r="T30" i="22"/>
  <c r="R30" i="22"/>
  <c r="Q30" i="22"/>
  <c r="U30" i="22" s="1"/>
  <c r="A30" i="22"/>
  <c r="T28" i="22"/>
  <c r="R28" i="22"/>
  <c r="Q28" i="22"/>
  <c r="U28" i="22" s="1"/>
  <c r="A28" i="22"/>
  <c r="R27" i="22"/>
  <c r="T27" i="22" s="1"/>
  <c r="Q27" i="22"/>
  <c r="U27" i="22" s="1"/>
  <c r="A27" i="22"/>
  <c r="T26" i="22"/>
  <c r="R26" i="22"/>
  <c r="Q26" i="22"/>
  <c r="A26" i="22"/>
  <c r="R24" i="22"/>
  <c r="T24" i="22" s="1"/>
  <c r="Q24" i="22"/>
  <c r="U24" i="22" s="1"/>
  <c r="A24" i="22"/>
  <c r="R23" i="22"/>
  <c r="T23" i="22" s="1"/>
  <c r="Q23" i="22"/>
  <c r="U23" i="22" s="1"/>
  <c r="A23" i="22"/>
  <c r="R22" i="22"/>
  <c r="T22" i="22" s="1"/>
  <c r="Q22" i="22"/>
  <c r="U22" i="22" s="1"/>
  <c r="A22" i="22"/>
  <c r="R20" i="22"/>
  <c r="T20" i="22" s="1"/>
  <c r="Q20" i="22"/>
  <c r="U20" i="22" s="1"/>
  <c r="A20" i="22"/>
  <c r="P18" i="22"/>
  <c r="P33" i="22" s="1"/>
  <c r="L53" i="5" s="1"/>
  <c r="O18" i="22"/>
  <c r="O33" i="22" s="1"/>
  <c r="N18" i="22"/>
  <c r="N33" i="22" s="1"/>
  <c r="L52" i="5" s="1"/>
  <c r="M18" i="22"/>
  <c r="M33" i="22" s="1"/>
  <c r="L18" i="22"/>
  <c r="L33" i="22" s="1"/>
  <c r="L51" i="5" s="1"/>
  <c r="K18" i="22"/>
  <c r="K33" i="22" s="1"/>
  <c r="J18" i="22"/>
  <c r="J33" i="22" s="1"/>
  <c r="L50" i="5" s="1"/>
  <c r="I18" i="22"/>
  <c r="I33" i="22" s="1"/>
  <c r="H18" i="22"/>
  <c r="H33" i="22" s="1"/>
  <c r="L49" i="5" s="1"/>
  <c r="G18" i="22"/>
  <c r="G33" i="22" s="1"/>
  <c r="F18" i="22"/>
  <c r="F33" i="22" s="1"/>
  <c r="L48" i="5" s="1"/>
  <c r="E18" i="22"/>
  <c r="E33" i="22" s="1"/>
  <c r="D18" i="22"/>
  <c r="D33" i="22" s="1"/>
  <c r="L47" i="5" s="1"/>
  <c r="C18" i="22"/>
  <c r="C33" i="22" s="1"/>
  <c r="R17" i="22"/>
  <c r="T17" i="22" s="1"/>
  <c r="Q17" i="22"/>
  <c r="U17" i="22" s="1"/>
  <c r="A17" i="22"/>
  <c r="R15" i="22"/>
  <c r="T15" i="22" s="1"/>
  <c r="Q15" i="22"/>
  <c r="U15" i="22" s="1"/>
  <c r="A15" i="22"/>
  <c r="R14" i="22"/>
  <c r="T14" i="22" s="1"/>
  <c r="Q14" i="22"/>
  <c r="U14" i="22" s="1"/>
  <c r="A14" i="22"/>
  <c r="T12" i="22"/>
  <c r="R12" i="22"/>
  <c r="Q12" i="22"/>
  <c r="U12" i="22" s="1"/>
  <c r="A12" i="22"/>
  <c r="U11" i="22"/>
  <c r="T11" i="22"/>
  <c r="R11" i="22"/>
  <c r="Q11" i="22"/>
  <c r="A11" i="22"/>
  <c r="R10" i="22"/>
  <c r="T10" i="22" s="1"/>
  <c r="Q10" i="22"/>
  <c r="U10" i="22" s="1"/>
  <c r="A10" i="22"/>
  <c r="T9" i="22"/>
  <c r="R9" i="22"/>
  <c r="Q9" i="22"/>
  <c r="A9" i="22"/>
  <c r="R7" i="22"/>
  <c r="T7" i="22" s="1"/>
  <c r="Q7" i="22"/>
  <c r="U7" i="22" s="1"/>
  <c r="A7" i="22"/>
  <c r="R6" i="22"/>
  <c r="T6" i="22" s="1"/>
  <c r="Q6" i="22"/>
  <c r="U6" i="22" s="1"/>
  <c r="A6" i="22"/>
  <c r="R5" i="22"/>
  <c r="Q5" i="22"/>
  <c r="U5" i="22" s="1"/>
  <c r="A5" i="22"/>
  <c r="O3" i="22"/>
  <c r="P31" i="21"/>
  <c r="O31" i="21"/>
  <c r="N31" i="21"/>
  <c r="M31" i="21"/>
  <c r="L31" i="21"/>
  <c r="K31" i="21"/>
  <c r="J31" i="21"/>
  <c r="I31" i="21"/>
  <c r="H31" i="21"/>
  <c r="G31" i="21"/>
  <c r="F31" i="21"/>
  <c r="E31" i="21"/>
  <c r="D31" i="21"/>
  <c r="C31" i="21"/>
  <c r="U30" i="21"/>
  <c r="T30" i="21"/>
  <c r="R30" i="21"/>
  <c r="Q30" i="21"/>
  <c r="A30" i="21"/>
  <c r="T28" i="21"/>
  <c r="R28" i="21"/>
  <c r="Q28" i="21"/>
  <c r="U28" i="21" s="1"/>
  <c r="A28" i="21"/>
  <c r="U27" i="21"/>
  <c r="R27" i="21"/>
  <c r="T27" i="21" s="1"/>
  <c r="Q27" i="21"/>
  <c r="A27" i="21"/>
  <c r="T26" i="21"/>
  <c r="R26" i="21"/>
  <c r="Q26" i="21"/>
  <c r="U26" i="21" s="1"/>
  <c r="A26" i="21"/>
  <c r="R24" i="21"/>
  <c r="T24" i="21" s="1"/>
  <c r="Q24" i="21"/>
  <c r="U24" i="21" s="1"/>
  <c r="A24" i="21"/>
  <c r="R23" i="21"/>
  <c r="T23" i="21" s="1"/>
  <c r="Q23" i="21"/>
  <c r="U23" i="21" s="1"/>
  <c r="A23" i="21"/>
  <c r="R22" i="21"/>
  <c r="T22" i="21" s="1"/>
  <c r="Q22" i="21"/>
  <c r="U22" i="21" s="1"/>
  <c r="A22" i="21"/>
  <c r="U20" i="21"/>
  <c r="R20" i="21"/>
  <c r="T20" i="21" s="1"/>
  <c r="Q20" i="21"/>
  <c r="A20" i="21"/>
  <c r="P18" i="21"/>
  <c r="P33" i="21" s="1"/>
  <c r="L46" i="5" s="1"/>
  <c r="O18" i="21"/>
  <c r="O33" i="21" s="1"/>
  <c r="N18" i="21"/>
  <c r="N33" i="21" s="1"/>
  <c r="L45" i="5" s="1"/>
  <c r="M18" i="21"/>
  <c r="M33" i="21" s="1"/>
  <c r="L18" i="21"/>
  <c r="L33" i="21" s="1"/>
  <c r="L44" i="5" s="1"/>
  <c r="K18" i="21"/>
  <c r="K33" i="21" s="1"/>
  <c r="J18" i="21"/>
  <c r="J33" i="21" s="1"/>
  <c r="L43" i="5" s="1"/>
  <c r="I18" i="21"/>
  <c r="I33" i="21" s="1"/>
  <c r="H18" i="21"/>
  <c r="H33" i="21" s="1"/>
  <c r="L42" i="5" s="1"/>
  <c r="G18" i="21"/>
  <c r="G33" i="21" s="1"/>
  <c r="F18" i="21"/>
  <c r="F33" i="21" s="1"/>
  <c r="L41" i="5" s="1"/>
  <c r="E18" i="21"/>
  <c r="E33" i="21" s="1"/>
  <c r="D18" i="21"/>
  <c r="D33" i="21" s="1"/>
  <c r="L40" i="5" s="1"/>
  <c r="C18" i="21"/>
  <c r="C33" i="21" s="1"/>
  <c r="R17" i="21"/>
  <c r="T17" i="21" s="1"/>
  <c r="Q17" i="21"/>
  <c r="U17" i="21" s="1"/>
  <c r="A17" i="21"/>
  <c r="R15" i="21"/>
  <c r="T15" i="21" s="1"/>
  <c r="Q15" i="21"/>
  <c r="U15" i="21" s="1"/>
  <c r="A15" i="21"/>
  <c r="U14" i="21"/>
  <c r="R14" i="21"/>
  <c r="T14" i="21" s="1"/>
  <c r="Q14" i="21"/>
  <c r="A14" i="21"/>
  <c r="R12" i="21"/>
  <c r="T12" i="21" s="1"/>
  <c r="Q12" i="21"/>
  <c r="U12" i="21" s="1"/>
  <c r="A12" i="21"/>
  <c r="T11" i="21"/>
  <c r="R11" i="21"/>
  <c r="Q11" i="21"/>
  <c r="U11" i="21" s="1"/>
  <c r="A11" i="21"/>
  <c r="R10" i="21"/>
  <c r="T10" i="21" s="1"/>
  <c r="Q10" i="21"/>
  <c r="U10" i="21" s="1"/>
  <c r="A10" i="21"/>
  <c r="T9" i="21"/>
  <c r="R9" i="21"/>
  <c r="Q9" i="21"/>
  <c r="U9" i="21" s="1"/>
  <c r="A9" i="21"/>
  <c r="R7" i="21"/>
  <c r="T7" i="21" s="1"/>
  <c r="Q7" i="21"/>
  <c r="U7" i="21" s="1"/>
  <c r="A7" i="21"/>
  <c r="R6" i="21"/>
  <c r="T6" i="21" s="1"/>
  <c r="Q6" i="21"/>
  <c r="U6" i="21" s="1"/>
  <c r="A6" i="21"/>
  <c r="R5" i="21"/>
  <c r="Q5" i="21"/>
  <c r="U5" i="21" s="1"/>
  <c r="A5" i="21"/>
  <c r="I3" i="21"/>
  <c r="O3" i="21"/>
  <c r="P31" i="20"/>
  <c r="O31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R30" i="20"/>
  <c r="T30" i="20" s="1"/>
  <c r="Q30" i="20"/>
  <c r="U30" i="20" s="1"/>
  <c r="A30" i="20"/>
  <c r="R28" i="20"/>
  <c r="T28" i="20" s="1"/>
  <c r="Q28" i="20"/>
  <c r="U28" i="20" s="1"/>
  <c r="A28" i="20"/>
  <c r="R27" i="20"/>
  <c r="T27" i="20" s="1"/>
  <c r="Q27" i="20"/>
  <c r="U27" i="20" s="1"/>
  <c r="A27" i="20"/>
  <c r="T26" i="20"/>
  <c r="R26" i="20"/>
  <c r="Q26" i="20"/>
  <c r="U26" i="20" s="1"/>
  <c r="A26" i="20"/>
  <c r="R24" i="20"/>
  <c r="T24" i="20" s="1"/>
  <c r="Q24" i="20"/>
  <c r="U24" i="20" s="1"/>
  <c r="A24" i="20"/>
  <c r="U23" i="20"/>
  <c r="R23" i="20"/>
  <c r="T23" i="20" s="1"/>
  <c r="Q23" i="20"/>
  <c r="A23" i="20"/>
  <c r="R22" i="20"/>
  <c r="T22" i="20" s="1"/>
  <c r="Q22" i="20"/>
  <c r="U22" i="20" s="1"/>
  <c r="A22" i="20"/>
  <c r="R20" i="20"/>
  <c r="T20" i="20" s="1"/>
  <c r="Q20" i="20"/>
  <c r="U20" i="20" s="1"/>
  <c r="A20" i="20"/>
  <c r="P18" i="20"/>
  <c r="P33" i="20" s="1"/>
  <c r="O18" i="20"/>
  <c r="O33" i="20" s="1"/>
  <c r="N18" i="20"/>
  <c r="N33" i="20" s="1"/>
  <c r="M18" i="20"/>
  <c r="M33" i="20" s="1"/>
  <c r="L18" i="20"/>
  <c r="L33" i="20" s="1"/>
  <c r="D67" i="5" s="1"/>
  <c r="K18" i="20"/>
  <c r="K33" i="20" s="1"/>
  <c r="J18" i="20"/>
  <c r="J33" i="20" s="1"/>
  <c r="D66" i="5" s="1"/>
  <c r="I18" i="20"/>
  <c r="I33" i="20" s="1"/>
  <c r="H18" i="20"/>
  <c r="H33" i="20" s="1"/>
  <c r="D65" i="5" s="1"/>
  <c r="G18" i="20"/>
  <c r="G33" i="20" s="1"/>
  <c r="F18" i="20"/>
  <c r="F33" i="20" s="1"/>
  <c r="D64" i="5" s="1"/>
  <c r="E18" i="20"/>
  <c r="E33" i="20" s="1"/>
  <c r="D18" i="20"/>
  <c r="D33" i="20" s="1"/>
  <c r="D63" i="5" s="1"/>
  <c r="C18" i="20"/>
  <c r="C33" i="20" s="1"/>
  <c r="R17" i="20"/>
  <c r="T17" i="20" s="1"/>
  <c r="Q17" i="20"/>
  <c r="U17" i="20" s="1"/>
  <c r="A17" i="20"/>
  <c r="R15" i="20"/>
  <c r="T15" i="20" s="1"/>
  <c r="Q15" i="20"/>
  <c r="U15" i="20" s="1"/>
  <c r="A15" i="20"/>
  <c r="R14" i="20"/>
  <c r="T14" i="20" s="1"/>
  <c r="Q14" i="20"/>
  <c r="U14" i="20" s="1"/>
  <c r="A14" i="20"/>
  <c r="R12" i="20"/>
  <c r="T12" i="20" s="1"/>
  <c r="Q12" i="20"/>
  <c r="U12" i="20" s="1"/>
  <c r="A12" i="20"/>
  <c r="R11" i="20"/>
  <c r="T11" i="20" s="1"/>
  <c r="Q11" i="20"/>
  <c r="U11" i="20" s="1"/>
  <c r="A11" i="20"/>
  <c r="R10" i="20"/>
  <c r="T10" i="20" s="1"/>
  <c r="Q10" i="20"/>
  <c r="U10" i="20" s="1"/>
  <c r="A10" i="20"/>
  <c r="R9" i="20"/>
  <c r="T9" i="20" s="1"/>
  <c r="Q9" i="20"/>
  <c r="U9" i="20" s="1"/>
  <c r="A9" i="20"/>
  <c r="T7" i="20"/>
  <c r="R7" i="20"/>
  <c r="Q7" i="20"/>
  <c r="U7" i="20" s="1"/>
  <c r="A7" i="20"/>
  <c r="U6" i="20"/>
  <c r="T6" i="20"/>
  <c r="R6" i="20"/>
  <c r="Q6" i="20"/>
  <c r="A6" i="20"/>
  <c r="R5" i="20"/>
  <c r="Q5" i="20"/>
  <c r="U5" i="20" s="1"/>
  <c r="A5" i="20"/>
  <c r="M3" i="20"/>
  <c r="E3" i="20"/>
  <c r="D3" i="20"/>
  <c r="O3" i="20"/>
  <c r="E33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T30" i="19"/>
  <c r="R30" i="19"/>
  <c r="Q30" i="19"/>
  <c r="U30" i="19" s="1"/>
  <c r="A30" i="19"/>
  <c r="R28" i="19"/>
  <c r="T28" i="19" s="1"/>
  <c r="Q28" i="19"/>
  <c r="U28" i="19" s="1"/>
  <c r="A28" i="19"/>
  <c r="U27" i="19"/>
  <c r="R27" i="19"/>
  <c r="Q27" i="19"/>
  <c r="A27" i="19"/>
  <c r="R26" i="19"/>
  <c r="T26" i="19" s="1"/>
  <c r="Q26" i="19"/>
  <c r="U26" i="19" s="1"/>
  <c r="A26" i="19"/>
  <c r="R24" i="19"/>
  <c r="T24" i="19" s="1"/>
  <c r="Q24" i="19"/>
  <c r="U24" i="19" s="1"/>
  <c r="A24" i="19"/>
  <c r="R23" i="19"/>
  <c r="T23" i="19" s="1"/>
  <c r="Q23" i="19"/>
  <c r="U23" i="19" s="1"/>
  <c r="A23" i="19"/>
  <c r="R22" i="19"/>
  <c r="T22" i="19" s="1"/>
  <c r="Q22" i="19"/>
  <c r="U22" i="19" s="1"/>
  <c r="A22" i="19"/>
  <c r="R20" i="19"/>
  <c r="T20" i="19" s="1"/>
  <c r="Q20" i="19"/>
  <c r="U20" i="19" s="1"/>
  <c r="A20" i="19"/>
  <c r="P18" i="19"/>
  <c r="P33" i="19" s="1"/>
  <c r="D62" i="5" s="1"/>
  <c r="O18" i="19"/>
  <c r="O33" i="19" s="1"/>
  <c r="N18" i="19"/>
  <c r="N33" i="19" s="1"/>
  <c r="D61" i="5" s="1"/>
  <c r="M18" i="19"/>
  <c r="M33" i="19" s="1"/>
  <c r="L18" i="19"/>
  <c r="L33" i="19" s="1"/>
  <c r="D60" i="5" s="1"/>
  <c r="K18" i="19"/>
  <c r="K33" i="19" s="1"/>
  <c r="J18" i="19"/>
  <c r="J33" i="19" s="1"/>
  <c r="D59" i="5" s="1"/>
  <c r="I18" i="19"/>
  <c r="I33" i="19" s="1"/>
  <c r="H18" i="19"/>
  <c r="H33" i="19" s="1"/>
  <c r="D58" i="5" s="1"/>
  <c r="G18" i="19"/>
  <c r="G33" i="19" s="1"/>
  <c r="F18" i="19"/>
  <c r="F33" i="19" s="1"/>
  <c r="D57" i="5" s="1"/>
  <c r="E18" i="19"/>
  <c r="D18" i="19"/>
  <c r="D33" i="19" s="1"/>
  <c r="D56" i="5" s="1"/>
  <c r="C18" i="19"/>
  <c r="C33" i="19" s="1"/>
  <c r="R17" i="19"/>
  <c r="T17" i="19" s="1"/>
  <c r="Q17" i="19"/>
  <c r="U17" i="19" s="1"/>
  <c r="A17" i="19"/>
  <c r="T15" i="19"/>
  <c r="R15" i="19"/>
  <c r="Q15" i="19"/>
  <c r="U15" i="19" s="1"/>
  <c r="A15" i="19"/>
  <c r="R14" i="19"/>
  <c r="T14" i="19" s="1"/>
  <c r="Q14" i="19"/>
  <c r="U14" i="19" s="1"/>
  <c r="A14" i="19"/>
  <c r="U12" i="19"/>
  <c r="R12" i="19"/>
  <c r="T12" i="19" s="1"/>
  <c r="Q12" i="19"/>
  <c r="A12" i="19"/>
  <c r="R11" i="19"/>
  <c r="T11" i="19" s="1"/>
  <c r="Q11" i="19"/>
  <c r="U11" i="19" s="1"/>
  <c r="A11" i="19"/>
  <c r="U10" i="19"/>
  <c r="R10" i="19"/>
  <c r="Q10" i="19"/>
  <c r="A10" i="19"/>
  <c r="R9" i="19"/>
  <c r="T9" i="19" s="1"/>
  <c r="Q9" i="19"/>
  <c r="U9" i="19" s="1"/>
  <c r="A9" i="19"/>
  <c r="R7" i="19"/>
  <c r="T7" i="19" s="1"/>
  <c r="Q7" i="19"/>
  <c r="U7" i="19" s="1"/>
  <c r="A7" i="19"/>
  <c r="R6" i="19"/>
  <c r="T6" i="19" s="1"/>
  <c r="Q6" i="19"/>
  <c r="U6" i="19" s="1"/>
  <c r="A6" i="19"/>
  <c r="R5" i="19"/>
  <c r="T5" i="19" s="1"/>
  <c r="Q5" i="19"/>
  <c r="U5" i="19" s="1"/>
  <c r="A5" i="19"/>
  <c r="I3" i="19"/>
  <c r="O3" i="19"/>
  <c r="P31" i="18"/>
  <c r="O31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T30" i="18"/>
  <c r="R30" i="18"/>
  <c r="Q30" i="18"/>
  <c r="U30" i="18" s="1"/>
  <c r="A30" i="18"/>
  <c r="U28" i="18"/>
  <c r="T28" i="18"/>
  <c r="R28" i="18"/>
  <c r="Q28" i="18"/>
  <c r="A28" i="18"/>
  <c r="R27" i="18"/>
  <c r="T27" i="18" s="1"/>
  <c r="Q27" i="18"/>
  <c r="U27" i="18" s="1"/>
  <c r="A27" i="18"/>
  <c r="R26" i="18"/>
  <c r="T26" i="18" s="1"/>
  <c r="Q26" i="18"/>
  <c r="U26" i="18" s="1"/>
  <c r="A26" i="18"/>
  <c r="T24" i="18"/>
  <c r="R24" i="18"/>
  <c r="Q24" i="18"/>
  <c r="U24" i="18" s="1"/>
  <c r="A24" i="18"/>
  <c r="U23" i="18"/>
  <c r="R23" i="18"/>
  <c r="T23" i="18" s="1"/>
  <c r="Q23" i="18"/>
  <c r="A23" i="18"/>
  <c r="R22" i="18"/>
  <c r="T22" i="18" s="1"/>
  <c r="Q22" i="18"/>
  <c r="U22" i="18" s="1"/>
  <c r="A22" i="18"/>
  <c r="R20" i="18"/>
  <c r="T20" i="18" s="1"/>
  <c r="Q20" i="18"/>
  <c r="U20" i="18" s="1"/>
  <c r="A20" i="18"/>
  <c r="P18" i="18"/>
  <c r="P33" i="18" s="1"/>
  <c r="D55" i="5" s="1"/>
  <c r="O18" i="18"/>
  <c r="O33" i="18" s="1"/>
  <c r="N18" i="18"/>
  <c r="N33" i="18" s="1"/>
  <c r="D54" i="5" s="1"/>
  <c r="M18" i="18"/>
  <c r="M33" i="18" s="1"/>
  <c r="L18" i="18"/>
  <c r="L33" i="18" s="1"/>
  <c r="D53" i="5" s="1"/>
  <c r="K18" i="18"/>
  <c r="K33" i="18" s="1"/>
  <c r="J18" i="18"/>
  <c r="J33" i="18" s="1"/>
  <c r="D52" i="5" s="1"/>
  <c r="I18" i="18"/>
  <c r="I33" i="18" s="1"/>
  <c r="H18" i="18"/>
  <c r="H33" i="18" s="1"/>
  <c r="D51" i="5" s="1"/>
  <c r="G18" i="18"/>
  <c r="G33" i="18" s="1"/>
  <c r="F18" i="18"/>
  <c r="F33" i="18" s="1"/>
  <c r="D50" i="5" s="1"/>
  <c r="E18" i="18"/>
  <c r="E33" i="18" s="1"/>
  <c r="D18" i="18"/>
  <c r="D33" i="18" s="1"/>
  <c r="D49" i="5" s="1"/>
  <c r="C18" i="18"/>
  <c r="C33" i="18" s="1"/>
  <c r="R17" i="18"/>
  <c r="T17" i="18" s="1"/>
  <c r="Q17" i="18"/>
  <c r="U17" i="18" s="1"/>
  <c r="A17" i="18"/>
  <c r="R15" i="18"/>
  <c r="T15" i="18" s="1"/>
  <c r="Q15" i="18"/>
  <c r="U15" i="18" s="1"/>
  <c r="A15" i="18"/>
  <c r="U14" i="18"/>
  <c r="R14" i="18"/>
  <c r="T14" i="18" s="1"/>
  <c r="Q14" i="18"/>
  <c r="A14" i="18"/>
  <c r="T12" i="18"/>
  <c r="R12" i="18"/>
  <c r="Q12" i="18"/>
  <c r="U12" i="18" s="1"/>
  <c r="A12" i="18"/>
  <c r="U11" i="18"/>
  <c r="T11" i="18"/>
  <c r="R11" i="18"/>
  <c r="Q11" i="18"/>
  <c r="A11" i="18"/>
  <c r="R10" i="18"/>
  <c r="T10" i="18" s="1"/>
  <c r="Q10" i="18"/>
  <c r="U10" i="18" s="1"/>
  <c r="A10" i="18"/>
  <c r="R9" i="18"/>
  <c r="T9" i="18" s="1"/>
  <c r="Q9" i="18"/>
  <c r="U9" i="18" s="1"/>
  <c r="A9" i="18"/>
  <c r="T7" i="18"/>
  <c r="R7" i="18"/>
  <c r="Q7" i="18"/>
  <c r="U7" i="18" s="1"/>
  <c r="A7" i="18"/>
  <c r="R6" i="18"/>
  <c r="T6" i="18" s="1"/>
  <c r="Q6" i="18"/>
  <c r="U6" i="18" s="1"/>
  <c r="A6" i="18"/>
  <c r="R5" i="18"/>
  <c r="Q5" i="18"/>
  <c r="U5" i="18" s="1"/>
  <c r="A5" i="18"/>
  <c r="O3" i="18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C31" i="17"/>
  <c r="R30" i="17"/>
  <c r="T30" i="17" s="1"/>
  <c r="Q30" i="17"/>
  <c r="U30" i="17" s="1"/>
  <c r="A30" i="17"/>
  <c r="R28" i="17"/>
  <c r="T28" i="17" s="1"/>
  <c r="Q28" i="17"/>
  <c r="U28" i="17" s="1"/>
  <c r="A28" i="17"/>
  <c r="R27" i="17"/>
  <c r="T27" i="17" s="1"/>
  <c r="Q27" i="17"/>
  <c r="U27" i="17" s="1"/>
  <c r="A27" i="17"/>
  <c r="R26" i="17"/>
  <c r="T26" i="17" s="1"/>
  <c r="Q26" i="17"/>
  <c r="U26" i="17" s="1"/>
  <c r="A26" i="17"/>
  <c r="T24" i="17"/>
  <c r="R24" i="17"/>
  <c r="Q24" i="17"/>
  <c r="U24" i="17" s="1"/>
  <c r="A24" i="17"/>
  <c r="U23" i="17"/>
  <c r="R23" i="17"/>
  <c r="T23" i="17" s="1"/>
  <c r="Q23" i="17"/>
  <c r="A23" i="17"/>
  <c r="R22" i="17"/>
  <c r="T22" i="17" s="1"/>
  <c r="Q22" i="17"/>
  <c r="U22" i="17" s="1"/>
  <c r="A22" i="17"/>
  <c r="U20" i="17"/>
  <c r="R20" i="17"/>
  <c r="T20" i="17" s="1"/>
  <c r="Q20" i="17"/>
  <c r="A20" i="17"/>
  <c r="P18" i="17"/>
  <c r="P33" i="17" s="1"/>
  <c r="D48" i="5" s="1"/>
  <c r="O18" i="17"/>
  <c r="O33" i="17" s="1"/>
  <c r="N18" i="17"/>
  <c r="N33" i="17" s="1"/>
  <c r="D47" i="5" s="1"/>
  <c r="M18" i="17"/>
  <c r="M33" i="17" s="1"/>
  <c r="L18" i="17"/>
  <c r="L33" i="17" s="1"/>
  <c r="D46" i="5" s="1"/>
  <c r="K18" i="17"/>
  <c r="K33" i="17" s="1"/>
  <c r="J18" i="17"/>
  <c r="J33" i="17" s="1"/>
  <c r="D45" i="5" s="1"/>
  <c r="I18" i="17"/>
  <c r="I33" i="17" s="1"/>
  <c r="H18" i="17"/>
  <c r="H33" i="17" s="1"/>
  <c r="D44" i="5" s="1"/>
  <c r="G18" i="17"/>
  <c r="G33" i="17" s="1"/>
  <c r="F18" i="17"/>
  <c r="F33" i="17" s="1"/>
  <c r="D43" i="5" s="1"/>
  <c r="E18" i="17"/>
  <c r="E33" i="17" s="1"/>
  <c r="D18" i="17"/>
  <c r="D33" i="17" s="1"/>
  <c r="D42" i="5" s="1"/>
  <c r="C18" i="17"/>
  <c r="C33" i="17" s="1"/>
  <c r="R17" i="17"/>
  <c r="T17" i="17" s="1"/>
  <c r="Q17" i="17"/>
  <c r="U17" i="17" s="1"/>
  <c r="A17" i="17"/>
  <c r="R15" i="17"/>
  <c r="T15" i="17" s="1"/>
  <c r="Q15" i="17"/>
  <c r="U15" i="17" s="1"/>
  <c r="A15" i="17"/>
  <c r="U14" i="17"/>
  <c r="R14" i="17"/>
  <c r="T14" i="17" s="1"/>
  <c r="Q14" i="17"/>
  <c r="A14" i="17"/>
  <c r="T12" i="17"/>
  <c r="R12" i="17"/>
  <c r="Q12" i="17"/>
  <c r="U12" i="17" s="1"/>
  <c r="A12" i="17"/>
  <c r="R11" i="17"/>
  <c r="T11" i="17" s="1"/>
  <c r="Q11" i="17"/>
  <c r="U11" i="17" s="1"/>
  <c r="A11" i="17"/>
  <c r="R10" i="17"/>
  <c r="T10" i="17" s="1"/>
  <c r="Q10" i="17"/>
  <c r="U10" i="17" s="1"/>
  <c r="A10" i="17"/>
  <c r="R9" i="17"/>
  <c r="T9" i="17" s="1"/>
  <c r="Q9" i="17"/>
  <c r="U9" i="17" s="1"/>
  <c r="A9" i="17"/>
  <c r="T7" i="17"/>
  <c r="R7" i="17"/>
  <c r="Q7" i="17"/>
  <c r="U7" i="17" s="1"/>
  <c r="A7" i="17"/>
  <c r="R6" i="17"/>
  <c r="T6" i="17" s="1"/>
  <c r="Q6" i="17"/>
  <c r="U6" i="17" s="1"/>
  <c r="A6" i="17"/>
  <c r="R5" i="17"/>
  <c r="Q5" i="17"/>
  <c r="U5" i="17" s="1"/>
  <c r="A5" i="17"/>
  <c r="O3" i="17"/>
  <c r="P31" i="16"/>
  <c r="O31" i="16"/>
  <c r="N31" i="16"/>
  <c r="M31" i="16"/>
  <c r="L31" i="16"/>
  <c r="K31" i="16"/>
  <c r="J31" i="16"/>
  <c r="I31" i="16"/>
  <c r="H31" i="16"/>
  <c r="G31" i="16"/>
  <c r="F31" i="16"/>
  <c r="E31" i="16"/>
  <c r="D31" i="16"/>
  <c r="C31" i="16"/>
  <c r="T30" i="16"/>
  <c r="R30" i="16"/>
  <c r="Q30" i="16"/>
  <c r="U30" i="16" s="1"/>
  <c r="A30" i="16"/>
  <c r="R28" i="16"/>
  <c r="T28" i="16" s="1"/>
  <c r="Q28" i="16"/>
  <c r="U28" i="16" s="1"/>
  <c r="A28" i="16"/>
  <c r="U27" i="16"/>
  <c r="R27" i="16"/>
  <c r="T27" i="16" s="1"/>
  <c r="Q27" i="16"/>
  <c r="A27" i="16"/>
  <c r="R26" i="16"/>
  <c r="T26" i="16" s="1"/>
  <c r="Q26" i="16"/>
  <c r="U26" i="16" s="1"/>
  <c r="A26" i="16"/>
  <c r="T24" i="16"/>
  <c r="R24" i="16"/>
  <c r="Q24" i="16"/>
  <c r="U24" i="16" s="1"/>
  <c r="A24" i="16"/>
  <c r="U23" i="16"/>
  <c r="R23" i="16"/>
  <c r="T23" i="16" s="1"/>
  <c r="Q23" i="16"/>
  <c r="A23" i="16"/>
  <c r="R22" i="16"/>
  <c r="T22" i="16" s="1"/>
  <c r="Q22" i="16"/>
  <c r="U22" i="16" s="1"/>
  <c r="A22" i="16"/>
  <c r="U20" i="16"/>
  <c r="R20" i="16"/>
  <c r="T20" i="16" s="1"/>
  <c r="Q20" i="16"/>
  <c r="A20" i="16"/>
  <c r="P18" i="16"/>
  <c r="P33" i="16" s="1"/>
  <c r="D41" i="5" s="1"/>
  <c r="O18" i="16"/>
  <c r="O33" i="16" s="1"/>
  <c r="N18" i="16"/>
  <c r="N33" i="16" s="1"/>
  <c r="D40" i="5" s="1"/>
  <c r="M18" i="16"/>
  <c r="M33" i="16" s="1"/>
  <c r="L18" i="16"/>
  <c r="L33" i="16" s="1"/>
  <c r="D39" i="5" s="1"/>
  <c r="K18" i="16"/>
  <c r="K33" i="16" s="1"/>
  <c r="J18" i="16"/>
  <c r="J33" i="16" s="1"/>
  <c r="D38" i="5" s="1"/>
  <c r="I18" i="16"/>
  <c r="I33" i="16" s="1"/>
  <c r="H18" i="16"/>
  <c r="H33" i="16" s="1"/>
  <c r="G18" i="16"/>
  <c r="G33" i="16" s="1"/>
  <c r="F18" i="16"/>
  <c r="F33" i="16" s="1"/>
  <c r="E18" i="16"/>
  <c r="E33" i="16" s="1"/>
  <c r="D18" i="16"/>
  <c r="D33" i="16" s="1"/>
  <c r="C18" i="16"/>
  <c r="C33" i="16" s="1"/>
  <c r="R17" i="16"/>
  <c r="T17" i="16" s="1"/>
  <c r="Q17" i="16"/>
  <c r="U17" i="16" s="1"/>
  <c r="A17" i="16"/>
  <c r="R15" i="16"/>
  <c r="T15" i="16" s="1"/>
  <c r="Q15" i="16"/>
  <c r="U15" i="16" s="1"/>
  <c r="A15" i="16"/>
  <c r="U14" i="16"/>
  <c r="R14" i="16"/>
  <c r="T14" i="16" s="1"/>
  <c r="Q14" i="16"/>
  <c r="A14" i="16"/>
  <c r="U12" i="16"/>
  <c r="T12" i="16"/>
  <c r="R12" i="16"/>
  <c r="Q12" i="16"/>
  <c r="A12" i="16"/>
  <c r="R11" i="16"/>
  <c r="T11" i="16" s="1"/>
  <c r="Q11" i="16"/>
  <c r="U11" i="16" s="1"/>
  <c r="A11" i="16"/>
  <c r="U10" i="16"/>
  <c r="R10" i="16"/>
  <c r="T10" i="16" s="1"/>
  <c r="Q10" i="16"/>
  <c r="A10" i="16"/>
  <c r="R9" i="16"/>
  <c r="T9" i="16" s="1"/>
  <c r="Q9" i="16"/>
  <c r="U9" i="16" s="1"/>
  <c r="A9" i="16"/>
  <c r="T7" i="16"/>
  <c r="R7" i="16"/>
  <c r="Q7" i="16"/>
  <c r="U7" i="16" s="1"/>
  <c r="A7" i="16"/>
  <c r="R6" i="16"/>
  <c r="T6" i="16" s="1"/>
  <c r="Q6" i="16"/>
  <c r="U6" i="16" s="1"/>
  <c r="A6" i="16"/>
  <c r="R5" i="16"/>
  <c r="Q5" i="16"/>
  <c r="U5" i="16" s="1"/>
  <c r="A5" i="16"/>
  <c r="O3" i="16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U30" i="15"/>
  <c r="T30" i="15"/>
  <c r="R30" i="15"/>
  <c r="Q30" i="15"/>
  <c r="A30" i="15"/>
  <c r="R28" i="15"/>
  <c r="T28" i="15" s="1"/>
  <c r="Q28" i="15"/>
  <c r="U28" i="15" s="1"/>
  <c r="A28" i="15"/>
  <c r="U27" i="15"/>
  <c r="R27" i="15"/>
  <c r="T27" i="15" s="1"/>
  <c r="Q27" i="15"/>
  <c r="A27" i="15"/>
  <c r="R26" i="15"/>
  <c r="T26" i="15" s="1"/>
  <c r="Q26" i="15"/>
  <c r="U26" i="15" s="1"/>
  <c r="A26" i="15"/>
  <c r="T24" i="15"/>
  <c r="R24" i="15"/>
  <c r="Q24" i="15"/>
  <c r="U24" i="15" s="1"/>
  <c r="A24" i="15"/>
  <c r="R23" i="15"/>
  <c r="T23" i="15" s="1"/>
  <c r="Q23" i="15"/>
  <c r="U23" i="15" s="1"/>
  <c r="A23" i="15"/>
  <c r="R22" i="15"/>
  <c r="T22" i="15" s="1"/>
  <c r="Q22" i="15"/>
  <c r="U22" i="15" s="1"/>
  <c r="A22" i="15"/>
  <c r="R20" i="15"/>
  <c r="T20" i="15" s="1"/>
  <c r="Q20" i="15"/>
  <c r="U20" i="15" s="1"/>
  <c r="A20" i="15"/>
  <c r="P18" i="15"/>
  <c r="P33" i="15" s="1"/>
  <c r="O18" i="15"/>
  <c r="O33" i="15" s="1"/>
  <c r="N18" i="15"/>
  <c r="N33" i="15" s="1"/>
  <c r="M18" i="15"/>
  <c r="M33" i="15" s="1"/>
  <c r="L18" i="15"/>
  <c r="L33" i="15" s="1"/>
  <c r="K18" i="15"/>
  <c r="K33" i="15" s="1"/>
  <c r="J18" i="15"/>
  <c r="J33" i="15" s="1"/>
  <c r="I18" i="15"/>
  <c r="I33" i="15" s="1"/>
  <c r="H18" i="15"/>
  <c r="H33" i="15" s="1"/>
  <c r="G18" i="15"/>
  <c r="G33" i="15" s="1"/>
  <c r="F18" i="15"/>
  <c r="F33" i="15" s="1"/>
  <c r="E18" i="15"/>
  <c r="E33" i="15" s="1"/>
  <c r="D18" i="15"/>
  <c r="D33" i="15" s="1"/>
  <c r="C18" i="15"/>
  <c r="C33" i="15" s="1"/>
  <c r="R17" i="15"/>
  <c r="T17" i="15" s="1"/>
  <c r="Q17" i="15"/>
  <c r="U17" i="15" s="1"/>
  <c r="A17" i="15"/>
  <c r="R15" i="15"/>
  <c r="T15" i="15" s="1"/>
  <c r="Q15" i="15"/>
  <c r="U15" i="15" s="1"/>
  <c r="A15" i="15"/>
  <c r="R14" i="15"/>
  <c r="T14" i="15" s="1"/>
  <c r="Q14" i="15"/>
  <c r="U14" i="15" s="1"/>
  <c r="A14" i="15"/>
  <c r="U12" i="15"/>
  <c r="T12" i="15"/>
  <c r="R12" i="15"/>
  <c r="Q12" i="15"/>
  <c r="A12" i="15"/>
  <c r="R11" i="15"/>
  <c r="T11" i="15" s="1"/>
  <c r="Q11" i="15"/>
  <c r="U11" i="15" s="1"/>
  <c r="A11" i="15"/>
  <c r="U10" i="15"/>
  <c r="R10" i="15"/>
  <c r="T10" i="15" s="1"/>
  <c r="Q10" i="15"/>
  <c r="A10" i="15"/>
  <c r="R9" i="15"/>
  <c r="T9" i="15" s="1"/>
  <c r="Q9" i="15"/>
  <c r="U9" i="15" s="1"/>
  <c r="A9" i="15"/>
  <c r="R7" i="15"/>
  <c r="T7" i="15" s="1"/>
  <c r="Q7" i="15"/>
  <c r="U7" i="15" s="1"/>
  <c r="A7" i="15"/>
  <c r="R6" i="15"/>
  <c r="T6" i="15" s="1"/>
  <c r="Q6" i="15"/>
  <c r="U6" i="15" s="1"/>
  <c r="A6" i="15"/>
  <c r="R5" i="15"/>
  <c r="Q5" i="15"/>
  <c r="U5" i="15" s="1"/>
  <c r="A5" i="15"/>
  <c r="O3" i="15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T30" i="14"/>
  <c r="R30" i="14"/>
  <c r="Q30" i="14"/>
  <c r="U30" i="14" s="1"/>
  <c r="A30" i="14"/>
  <c r="U28" i="14"/>
  <c r="R28" i="14"/>
  <c r="T28" i="14" s="1"/>
  <c r="Q28" i="14"/>
  <c r="A28" i="14"/>
  <c r="R27" i="14"/>
  <c r="Q27" i="14"/>
  <c r="U27" i="14" s="1"/>
  <c r="A27" i="14"/>
  <c r="R26" i="14"/>
  <c r="T26" i="14" s="1"/>
  <c r="Q26" i="14"/>
  <c r="U26" i="14" s="1"/>
  <c r="A26" i="14"/>
  <c r="R24" i="14"/>
  <c r="T24" i="14" s="1"/>
  <c r="Q24" i="14"/>
  <c r="U24" i="14" s="1"/>
  <c r="A24" i="14"/>
  <c r="R23" i="14"/>
  <c r="T23" i="14" s="1"/>
  <c r="Q23" i="14"/>
  <c r="U23" i="14" s="1"/>
  <c r="A23" i="14"/>
  <c r="R22" i="14"/>
  <c r="T22" i="14" s="1"/>
  <c r="Q22" i="14"/>
  <c r="U22" i="14" s="1"/>
  <c r="A22" i="14"/>
  <c r="R20" i="14"/>
  <c r="T20" i="14" s="1"/>
  <c r="Q20" i="14"/>
  <c r="U20" i="14" s="1"/>
  <c r="A20" i="14"/>
  <c r="P18" i="14"/>
  <c r="P33" i="14" s="1"/>
  <c r="O18" i="14"/>
  <c r="O33" i="14" s="1"/>
  <c r="N18" i="14"/>
  <c r="N33" i="14" s="1"/>
  <c r="M18" i="14"/>
  <c r="M33" i="14" s="1"/>
  <c r="L18" i="14"/>
  <c r="L33" i="14" s="1"/>
  <c r="K18" i="14"/>
  <c r="K33" i="14" s="1"/>
  <c r="J18" i="14"/>
  <c r="J33" i="14" s="1"/>
  <c r="I18" i="14"/>
  <c r="I33" i="14" s="1"/>
  <c r="H18" i="14"/>
  <c r="H33" i="14" s="1"/>
  <c r="G18" i="14"/>
  <c r="G33" i="14" s="1"/>
  <c r="F18" i="14"/>
  <c r="F33" i="14" s="1"/>
  <c r="E18" i="14"/>
  <c r="E33" i="14" s="1"/>
  <c r="D18" i="14"/>
  <c r="D33" i="14" s="1"/>
  <c r="C18" i="14"/>
  <c r="C33" i="14" s="1"/>
  <c r="R17" i="14"/>
  <c r="T17" i="14" s="1"/>
  <c r="Q17" i="14"/>
  <c r="U17" i="14" s="1"/>
  <c r="A17" i="14"/>
  <c r="R15" i="14"/>
  <c r="T15" i="14" s="1"/>
  <c r="Q15" i="14"/>
  <c r="U15" i="14" s="1"/>
  <c r="A15" i="14"/>
  <c r="R14" i="14"/>
  <c r="T14" i="14" s="1"/>
  <c r="Q14" i="14"/>
  <c r="U14" i="14" s="1"/>
  <c r="A14" i="14"/>
  <c r="R12" i="14"/>
  <c r="T12" i="14" s="1"/>
  <c r="Q12" i="14"/>
  <c r="U12" i="14" s="1"/>
  <c r="A12" i="14"/>
  <c r="U11" i="14"/>
  <c r="R11" i="14"/>
  <c r="T11" i="14" s="1"/>
  <c r="Q11" i="14"/>
  <c r="A11" i="14"/>
  <c r="R10" i="14"/>
  <c r="Q10" i="14"/>
  <c r="U10" i="14" s="1"/>
  <c r="A10" i="14"/>
  <c r="R9" i="14"/>
  <c r="T9" i="14" s="1"/>
  <c r="Q9" i="14"/>
  <c r="U9" i="14" s="1"/>
  <c r="A9" i="14"/>
  <c r="R7" i="14"/>
  <c r="T7" i="14" s="1"/>
  <c r="Q7" i="14"/>
  <c r="U7" i="14" s="1"/>
  <c r="A7" i="14"/>
  <c r="R6" i="14"/>
  <c r="T6" i="14" s="1"/>
  <c r="Q6" i="14"/>
  <c r="U6" i="14" s="1"/>
  <c r="A6" i="14"/>
  <c r="R5" i="14"/>
  <c r="Q5" i="14"/>
  <c r="U5" i="14" s="1"/>
  <c r="A5" i="14"/>
  <c r="I3" i="14"/>
  <c r="O3" i="14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R30" i="13"/>
  <c r="T30" i="13" s="1"/>
  <c r="Q30" i="13"/>
  <c r="U30" i="13" s="1"/>
  <c r="A30" i="13"/>
  <c r="R28" i="13"/>
  <c r="T28" i="13" s="1"/>
  <c r="Q28" i="13"/>
  <c r="U28" i="13" s="1"/>
  <c r="A28" i="13"/>
  <c r="R27" i="13"/>
  <c r="T27" i="13" s="1"/>
  <c r="Q27" i="13"/>
  <c r="U27" i="13" s="1"/>
  <c r="A27" i="13"/>
  <c r="R26" i="13"/>
  <c r="T26" i="13" s="1"/>
  <c r="Q26" i="13"/>
  <c r="U26" i="13" s="1"/>
  <c r="A26" i="13"/>
  <c r="T24" i="13"/>
  <c r="R24" i="13"/>
  <c r="Q24" i="13"/>
  <c r="U24" i="13" s="1"/>
  <c r="A24" i="13"/>
  <c r="R23" i="13"/>
  <c r="T23" i="13" s="1"/>
  <c r="Q23" i="13"/>
  <c r="U23" i="13" s="1"/>
  <c r="A23" i="13"/>
  <c r="R22" i="13"/>
  <c r="T22" i="13" s="1"/>
  <c r="Q22" i="13"/>
  <c r="U22" i="13" s="1"/>
  <c r="A22" i="13"/>
  <c r="U20" i="13"/>
  <c r="R20" i="13"/>
  <c r="T20" i="13" s="1"/>
  <c r="Q20" i="13"/>
  <c r="A20" i="13"/>
  <c r="P18" i="13"/>
  <c r="P33" i="13" s="1"/>
  <c r="O18" i="13"/>
  <c r="O33" i="13" s="1"/>
  <c r="N18" i="13"/>
  <c r="N33" i="13" s="1"/>
  <c r="M18" i="13"/>
  <c r="M33" i="13" s="1"/>
  <c r="L18" i="13"/>
  <c r="L33" i="13" s="1"/>
  <c r="K18" i="13"/>
  <c r="K33" i="13" s="1"/>
  <c r="J18" i="13"/>
  <c r="J33" i="13" s="1"/>
  <c r="I18" i="13"/>
  <c r="I33" i="13" s="1"/>
  <c r="H18" i="13"/>
  <c r="H33" i="13" s="1"/>
  <c r="G18" i="13"/>
  <c r="G33" i="13" s="1"/>
  <c r="F18" i="13"/>
  <c r="F33" i="13" s="1"/>
  <c r="E18" i="13"/>
  <c r="E33" i="13" s="1"/>
  <c r="D18" i="13"/>
  <c r="D33" i="13" s="1"/>
  <c r="C18" i="13"/>
  <c r="C33" i="13" s="1"/>
  <c r="R17" i="13"/>
  <c r="T17" i="13" s="1"/>
  <c r="Q17" i="13"/>
  <c r="U17" i="13" s="1"/>
  <c r="A17" i="13"/>
  <c r="R15" i="13"/>
  <c r="T15" i="13" s="1"/>
  <c r="Q15" i="13"/>
  <c r="U15" i="13" s="1"/>
  <c r="A15" i="13"/>
  <c r="U14" i="13"/>
  <c r="R14" i="13"/>
  <c r="T14" i="13" s="1"/>
  <c r="Q14" i="13"/>
  <c r="A14" i="13"/>
  <c r="U12" i="13"/>
  <c r="R12" i="13"/>
  <c r="T12" i="13" s="1"/>
  <c r="Q12" i="13"/>
  <c r="A12" i="13"/>
  <c r="U11" i="13"/>
  <c r="T11" i="13"/>
  <c r="R11" i="13"/>
  <c r="Q11" i="13"/>
  <c r="A11" i="13"/>
  <c r="R10" i="13"/>
  <c r="T10" i="13" s="1"/>
  <c r="Q10" i="13"/>
  <c r="U10" i="13" s="1"/>
  <c r="A10" i="13"/>
  <c r="R9" i="13"/>
  <c r="T9" i="13" s="1"/>
  <c r="Q9" i="13"/>
  <c r="U9" i="13" s="1"/>
  <c r="A9" i="13"/>
  <c r="R7" i="13"/>
  <c r="T7" i="13" s="1"/>
  <c r="Q7" i="13"/>
  <c r="U7" i="13" s="1"/>
  <c r="A7" i="13"/>
  <c r="R6" i="13"/>
  <c r="T6" i="13" s="1"/>
  <c r="Q6" i="13"/>
  <c r="U6" i="13" s="1"/>
  <c r="A6" i="13"/>
  <c r="R5" i="13"/>
  <c r="Q5" i="13"/>
  <c r="U5" i="13" s="1"/>
  <c r="A5" i="13"/>
  <c r="O3" i="13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R30" i="12"/>
  <c r="T30" i="12" s="1"/>
  <c r="Q30" i="12"/>
  <c r="U30" i="12" s="1"/>
  <c r="A30" i="12"/>
  <c r="R28" i="12"/>
  <c r="T28" i="12" s="1"/>
  <c r="Q28" i="12"/>
  <c r="U28" i="12" s="1"/>
  <c r="A28" i="12"/>
  <c r="R27" i="12"/>
  <c r="T27" i="12" s="1"/>
  <c r="Q27" i="12"/>
  <c r="U27" i="12" s="1"/>
  <c r="A27" i="12"/>
  <c r="R26" i="12"/>
  <c r="T26" i="12" s="1"/>
  <c r="Q26" i="12"/>
  <c r="U26" i="12" s="1"/>
  <c r="A26" i="12"/>
  <c r="R24" i="12"/>
  <c r="T24" i="12" s="1"/>
  <c r="Q24" i="12"/>
  <c r="U24" i="12" s="1"/>
  <c r="A24" i="12"/>
  <c r="R23" i="12"/>
  <c r="T23" i="12" s="1"/>
  <c r="Q23" i="12"/>
  <c r="U23" i="12" s="1"/>
  <c r="A23" i="12"/>
  <c r="R22" i="12"/>
  <c r="T22" i="12" s="1"/>
  <c r="Q22" i="12"/>
  <c r="U22" i="12" s="1"/>
  <c r="A22" i="12"/>
  <c r="R20" i="12"/>
  <c r="T20" i="12" s="1"/>
  <c r="Q20" i="12"/>
  <c r="U20" i="12" s="1"/>
  <c r="A20" i="12"/>
  <c r="P18" i="12"/>
  <c r="P33" i="12" s="1"/>
  <c r="O18" i="12"/>
  <c r="O33" i="12" s="1"/>
  <c r="N18" i="12"/>
  <c r="N33" i="12" s="1"/>
  <c r="M18" i="12"/>
  <c r="M33" i="12" s="1"/>
  <c r="L18" i="12"/>
  <c r="L33" i="12" s="1"/>
  <c r="K18" i="12"/>
  <c r="K33" i="12" s="1"/>
  <c r="J18" i="12"/>
  <c r="J33" i="12" s="1"/>
  <c r="I18" i="12"/>
  <c r="I33" i="12" s="1"/>
  <c r="H18" i="12"/>
  <c r="H33" i="12" s="1"/>
  <c r="G18" i="12"/>
  <c r="G33" i="12" s="1"/>
  <c r="F18" i="12"/>
  <c r="F33" i="12" s="1"/>
  <c r="E18" i="12"/>
  <c r="E33" i="12" s="1"/>
  <c r="D18" i="12"/>
  <c r="D33" i="12" s="1"/>
  <c r="C18" i="12"/>
  <c r="C33" i="12" s="1"/>
  <c r="R17" i="12"/>
  <c r="T17" i="12" s="1"/>
  <c r="Q17" i="12"/>
  <c r="U17" i="12" s="1"/>
  <c r="A17" i="12"/>
  <c r="R15" i="12"/>
  <c r="T15" i="12" s="1"/>
  <c r="Q15" i="12"/>
  <c r="U15" i="12" s="1"/>
  <c r="A15" i="12"/>
  <c r="R14" i="12"/>
  <c r="T14" i="12" s="1"/>
  <c r="Q14" i="12"/>
  <c r="U14" i="12" s="1"/>
  <c r="A14" i="12"/>
  <c r="R12" i="12"/>
  <c r="T12" i="12" s="1"/>
  <c r="Q12" i="12"/>
  <c r="U12" i="12" s="1"/>
  <c r="A12" i="12"/>
  <c r="R11" i="12"/>
  <c r="T11" i="12" s="1"/>
  <c r="Q11" i="12"/>
  <c r="U11" i="12" s="1"/>
  <c r="A11" i="12"/>
  <c r="R10" i="12"/>
  <c r="T10" i="12" s="1"/>
  <c r="Q10" i="12"/>
  <c r="U10" i="12" s="1"/>
  <c r="A10" i="12"/>
  <c r="R9" i="12"/>
  <c r="T9" i="12" s="1"/>
  <c r="Q9" i="12"/>
  <c r="U9" i="12" s="1"/>
  <c r="A9" i="12"/>
  <c r="T7" i="12"/>
  <c r="R7" i="12"/>
  <c r="Q7" i="12"/>
  <c r="U7" i="12" s="1"/>
  <c r="A7" i="12"/>
  <c r="R6" i="12"/>
  <c r="T6" i="12" s="1"/>
  <c r="Q6" i="12"/>
  <c r="U6" i="12" s="1"/>
  <c r="A6" i="12"/>
  <c r="R5" i="12"/>
  <c r="Q5" i="12"/>
  <c r="U5" i="12" s="1"/>
  <c r="A5" i="12"/>
  <c r="M3" i="12"/>
  <c r="E3" i="12"/>
  <c r="D3" i="12"/>
  <c r="O3" i="12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R30" i="11"/>
  <c r="T30" i="11" s="1"/>
  <c r="Q30" i="11"/>
  <c r="U30" i="11" s="1"/>
  <c r="A30" i="11"/>
  <c r="R28" i="11"/>
  <c r="T28" i="11" s="1"/>
  <c r="Q28" i="11"/>
  <c r="U28" i="11" s="1"/>
  <c r="A28" i="11"/>
  <c r="R27" i="11"/>
  <c r="T27" i="11" s="1"/>
  <c r="Q27" i="11"/>
  <c r="U27" i="11" s="1"/>
  <c r="A27" i="11"/>
  <c r="R26" i="11"/>
  <c r="T26" i="11" s="1"/>
  <c r="Q26" i="11"/>
  <c r="A26" i="11"/>
  <c r="R24" i="11"/>
  <c r="T24" i="11" s="1"/>
  <c r="Q24" i="11"/>
  <c r="U24" i="11" s="1"/>
  <c r="A24" i="11"/>
  <c r="R23" i="11"/>
  <c r="T23" i="11" s="1"/>
  <c r="Q23" i="11"/>
  <c r="U23" i="11" s="1"/>
  <c r="A23" i="11"/>
  <c r="R22" i="11"/>
  <c r="T22" i="11" s="1"/>
  <c r="Q22" i="11"/>
  <c r="U22" i="11" s="1"/>
  <c r="A22" i="11"/>
  <c r="R20" i="11"/>
  <c r="T20" i="11" s="1"/>
  <c r="Q20" i="11"/>
  <c r="U20" i="11" s="1"/>
  <c r="A20" i="11"/>
  <c r="P18" i="11"/>
  <c r="P33" i="11" s="1"/>
  <c r="O18" i="11"/>
  <c r="O33" i="11" s="1"/>
  <c r="N18" i="11"/>
  <c r="N33" i="11" s="1"/>
  <c r="M18" i="11"/>
  <c r="M33" i="11" s="1"/>
  <c r="L18" i="11"/>
  <c r="L33" i="11" s="1"/>
  <c r="K18" i="11"/>
  <c r="K33" i="11" s="1"/>
  <c r="J18" i="11"/>
  <c r="J33" i="11" s="1"/>
  <c r="I18" i="11"/>
  <c r="I33" i="11" s="1"/>
  <c r="H18" i="11"/>
  <c r="H33" i="11" s="1"/>
  <c r="G18" i="11"/>
  <c r="G33" i="11" s="1"/>
  <c r="F18" i="11"/>
  <c r="F33" i="11" s="1"/>
  <c r="E18" i="11"/>
  <c r="E33" i="11" s="1"/>
  <c r="D18" i="11"/>
  <c r="D33" i="11" s="1"/>
  <c r="C18" i="11"/>
  <c r="C33" i="11" s="1"/>
  <c r="R17" i="11"/>
  <c r="T17" i="11" s="1"/>
  <c r="Q17" i="11"/>
  <c r="U17" i="11" s="1"/>
  <c r="A17" i="11"/>
  <c r="R15" i="11"/>
  <c r="T15" i="11" s="1"/>
  <c r="Q15" i="11"/>
  <c r="U15" i="11" s="1"/>
  <c r="A15" i="11"/>
  <c r="R14" i="11"/>
  <c r="T14" i="11" s="1"/>
  <c r="Q14" i="11"/>
  <c r="U14" i="11" s="1"/>
  <c r="A14" i="11"/>
  <c r="R12" i="11"/>
  <c r="T12" i="11" s="1"/>
  <c r="Q12" i="11"/>
  <c r="U12" i="11" s="1"/>
  <c r="A12" i="11"/>
  <c r="R11" i="11"/>
  <c r="T11" i="11" s="1"/>
  <c r="Q11" i="11"/>
  <c r="U11" i="11" s="1"/>
  <c r="A11" i="11"/>
  <c r="R10" i="11"/>
  <c r="T10" i="11" s="1"/>
  <c r="Q10" i="11"/>
  <c r="U10" i="11" s="1"/>
  <c r="A10" i="11"/>
  <c r="R9" i="11"/>
  <c r="T9" i="11" s="1"/>
  <c r="Q9" i="11"/>
  <c r="U9" i="11" s="1"/>
  <c r="A9" i="11"/>
  <c r="R7" i="11"/>
  <c r="T7" i="11" s="1"/>
  <c r="Q7" i="11"/>
  <c r="U7" i="11" s="1"/>
  <c r="A7" i="11"/>
  <c r="R6" i="11"/>
  <c r="T6" i="11" s="1"/>
  <c r="Q6" i="11"/>
  <c r="U6" i="11" s="1"/>
  <c r="A6" i="11"/>
  <c r="R5" i="11"/>
  <c r="Q5" i="11"/>
  <c r="U5" i="11" s="1"/>
  <c r="A5" i="11"/>
  <c r="O3" i="11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R30" i="10"/>
  <c r="T30" i="10" s="1"/>
  <c r="Q30" i="10"/>
  <c r="U30" i="10" s="1"/>
  <c r="A30" i="10"/>
  <c r="R28" i="10"/>
  <c r="T28" i="10" s="1"/>
  <c r="Q28" i="10"/>
  <c r="U28" i="10" s="1"/>
  <c r="A28" i="10"/>
  <c r="R27" i="10"/>
  <c r="T27" i="10" s="1"/>
  <c r="Q27" i="10"/>
  <c r="U27" i="10" s="1"/>
  <c r="A27" i="10"/>
  <c r="R26" i="10"/>
  <c r="T26" i="10" s="1"/>
  <c r="Q26" i="10"/>
  <c r="A26" i="10"/>
  <c r="R24" i="10"/>
  <c r="Q24" i="10"/>
  <c r="U24" i="10" s="1"/>
  <c r="A24" i="10"/>
  <c r="R23" i="10"/>
  <c r="T23" i="10" s="1"/>
  <c r="Q23" i="10"/>
  <c r="U23" i="10" s="1"/>
  <c r="A23" i="10"/>
  <c r="R22" i="10"/>
  <c r="T22" i="10" s="1"/>
  <c r="Q22" i="10"/>
  <c r="U22" i="10" s="1"/>
  <c r="A22" i="10"/>
  <c r="R20" i="10"/>
  <c r="T20" i="10" s="1"/>
  <c r="Q20" i="10"/>
  <c r="U20" i="10" s="1"/>
  <c r="A20" i="10"/>
  <c r="P18" i="10"/>
  <c r="P33" i="10" s="1"/>
  <c r="O18" i="10"/>
  <c r="O33" i="10" s="1"/>
  <c r="N18" i="10"/>
  <c r="N33" i="10" s="1"/>
  <c r="M18" i="10"/>
  <c r="M33" i="10" s="1"/>
  <c r="L18" i="10"/>
  <c r="L33" i="10" s="1"/>
  <c r="K18" i="10"/>
  <c r="K33" i="10" s="1"/>
  <c r="J18" i="10"/>
  <c r="J33" i="10" s="1"/>
  <c r="I18" i="10"/>
  <c r="I33" i="10" s="1"/>
  <c r="H18" i="10"/>
  <c r="H33" i="10" s="1"/>
  <c r="G18" i="10"/>
  <c r="G33" i="10" s="1"/>
  <c r="F18" i="10"/>
  <c r="F33" i="10" s="1"/>
  <c r="E18" i="10"/>
  <c r="E33" i="10" s="1"/>
  <c r="D18" i="10"/>
  <c r="D33" i="10" s="1"/>
  <c r="C18" i="10"/>
  <c r="C33" i="10" s="1"/>
  <c r="R17" i="10"/>
  <c r="T17" i="10" s="1"/>
  <c r="Q17" i="10"/>
  <c r="U17" i="10" s="1"/>
  <c r="A17" i="10"/>
  <c r="R15" i="10"/>
  <c r="T15" i="10" s="1"/>
  <c r="Q15" i="10"/>
  <c r="U15" i="10" s="1"/>
  <c r="A15" i="10"/>
  <c r="R14" i="10"/>
  <c r="T14" i="10" s="1"/>
  <c r="Q14" i="10"/>
  <c r="U14" i="10" s="1"/>
  <c r="A14" i="10"/>
  <c r="R12" i="10"/>
  <c r="T12" i="10" s="1"/>
  <c r="Q12" i="10"/>
  <c r="U12" i="10" s="1"/>
  <c r="A12" i="10"/>
  <c r="R11" i="10"/>
  <c r="T11" i="10" s="1"/>
  <c r="Q11" i="10"/>
  <c r="U11" i="10" s="1"/>
  <c r="A11" i="10"/>
  <c r="R10" i="10"/>
  <c r="T10" i="10" s="1"/>
  <c r="Q10" i="10"/>
  <c r="U10" i="10" s="1"/>
  <c r="A10" i="10"/>
  <c r="R9" i="10"/>
  <c r="T9" i="10" s="1"/>
  <c r="Q9" i="10"/>
  <c r="A9" i="10"/>
  <c r="R7" i="10"/>
  <c r="T7" i="10" s="1"/>
  <c r="Q7" i="10"/>
  <c r="U7" i="10" s="1"/>
  <c r="A7" i="10"/>
  <c r="R6" i="10"/>
  <c r="T6" i="10" s="1"/>
  <c r="Q6" i="10"/>
  <c r="U6" i="10" s="1"/>
  <c r="A6" i="10"/>
  <c r="R5" i="10"/>
  <c r="Q5" i="10"/>
  <c r="U5" i="10" s="1"/>
  <c r="A5" i="10"/>
  <c r="I3" i="10"/>
  <c r="O3" i="10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R30" i="9"/>
  <c r="T30" i="9" s="1"/>
  <c r="Q30" i="9"/>
  <c r="U30" i="9" s="1"/>
  <c r="A30" i="9"/>
  <c r="R28" i="9"/>
  <c r="T28" i="9" s="1"/>
  <c r="Q28" i="9"/>
  <c r="U28" i="9" s="1"/>
  <c r="A28" i="9"/>
  <c r="R27" i="9"/>
  <c r="T27" i="9" s="1"/>
  <c r="Q27" i="9"/>
  <c r="U27" i="9" s="1"/>
  <c r="A27" i="9"/>
  <c r="R26" i="9"/>
  <c r="T26" i="9" s="1"/>
  <c r="Q26" i="9"/>
  <c r="A26" i="9"/>
  <c r="R24" i="9"/>
  <c r="Q24" i="9"/>
  <c r="U24" i="9" s="1"/>
  <c r="A24" i="9"/>
  <c r="R23" i="9"/>
  <c r="T23" i="9" s="1"/>
  <c r="Q23" i="9"/>
  <c r="U23" i="9" s="1"/>
  <c r="A23" i="9"/>
  <c r="R22" i="9"/>
  <c r="T22" i="9" s="1"/>
  <c r="Q22" i="9"/>
  <c r="U22" i="9" s="1"/>
  <c r="A22" i="9"/>
  <c r="R20" i="9"/>
  <c r="T20" i="9" s="1"/>
  <c r="Q20" i="9"/>
  <c r="U20" i="9" s="1"/>
  <c r="A20" i="9"/>
  <c r="P18" i="9"/>
  <c r="P33" i="9" s="1"/>
  <c r="O18" i="9"/>
  <c r="O33" i="9" s="1"/>
  <c r="N18" i="9"/>
  <c r="N33" i="9" s="1"/>
  <c r="M18" i="9"/>
  <c r="M33" i="9" s="1"/>
  <c r="L18" i="9"/>
  <c r="L33" i="9" s="1"/>
  <c r="K18" i="9"/>
  <c r="K33" i="9" s="1"/>
  <c r="J18" i="9"/>
  <c r="J33" i="9" s="1"/>
  <c r="I18" i="9"/>
  <c r="I33" i="9" s="1"/>
  <c r="H18" i="9"/>
  <c r="H33" i="9" s="1"/>
  <c r="G18" i="9"/>
  <c r="G33" i="9" s="1"/>
  <c r="F18" i="9"/>
  <c r="F33" i="9" s="1"/>
  <c r="E18" i="9"/>
  <c r="E33" i="9" s="1"/>
  <c r="D18" i="9"/>
  <c r="D33" i="9" s="1"/>
  <c r="C18" i="9"/>
  <c r="C33" i="9" s="1"/>
  <c r="R17" i="9"/>
  <c r="T17" i="9" s="1"/>
  <c r="Q17" i="9"/>
  <c r="U17" i="9" s="1"/>
  <c r="A17" i="9"/>
  <c r="R15" i="9"/>
  <c r="T15" i="9" s="1"/>
  <c r="Q15" i="9"/>
  <c r="U15" i="9" s="1"/>
  <c r="A15" i="9"/>
  <c r="R14" i="9"/>
  <c r="T14" i="9" s="1"/>
  <c r="Q14" i="9"/>
  <c r="U14" i="9" s="1"/>
  <c r="A14" i="9"/>
  <c r="R12" i="9"/>
  <c r="T12" i="9" s="1"/>
  <c r="Q12" i="9"/>
  <c r="U12" i="9" s="1"/>
  <c r="A12" i="9"/>
  <c r="R11" i="9"/>
  <c r="T11" i="9" s="1"/>
  <c r="Q11" i="9"/>
  <c r="U11" i="9" s="1"/>
  <c r="A11" i="9"/>
  <c r="R10" i="9"/>
  <c r="T10" i="9" s="1"/>
  <c r="Q10" i="9"/>
  <c r="U10" i="9" s="1"/>
  <c r="A10" i="9"/>
  <c r="R9" i="9"/>
  <c r="T9" i="9" s="1"/>
  <c r="Q9" i="9"/>
  <c r="A9" i="9"/>
  <c r="R7" i="9"/>
  <c r="T7" i="9" s="1"/>
  <c r="Q7" i="9"/>
  <c r="U7" i="9" s="1"/>
  <c r="A7" i="9"/>
  <c r="R6" i="9"/>
  <c r="T6" i="9" s="1"/>
  <c r="Q6" i="9"/>
  <c r="U6" i="9" s="1"/>
  <c r="A6" i="9"/>
  <c r="R5" i="9"/>
  <c r="Q5" i="9"/>
  <c r="U5" i="9" s="1"/>
  <c r="A5" i="9"/>
  <c r="O3" i="9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R30" i="8"/>
  <c r="T30" i="8" s="1"/>
  <c r="Q30" i="8"/>
  <c r="U30" i="8" s="1"/>
  <c r="A30" i="8"/>
  <c r="R28" i="8"/>
  <c r="Q28" i="8"/>
  <c r="U28" i="8" s="1"/>
  <c r="A28" i="8"/>
  <c r="R27" i="8"/>
  <c r="T27" i="8" s="1"/>
  <c r="Q27" i="8"/>
  <c r="U27" i="8" s="1"/>
  <c r="A27" i="8"/>
  <c r="R26" i="8"/>
  <c r="T26" i="8" s="1"/>
  <c r="Q26" i="8"/>
  <c r="U26" i="8" s="1"/>
  <c r="A26" i="8"/>
  <c r="R24" i="8"/>
  <c r="T24" i="8" s="1"/>
  <c r="Q24" i="8"/>
  <c r="U24" i="8" s="1"/>
  <c r="A24" i="8"/>
  <c r="R23" i="8"/>
  <c r="T23" i="8" s="1"/>
  <c r="Q23" i="8"/>
  <c r="U23" i="8" s="1"/>
  <c r="A23" i="8"/>
  <c r="R22" i="8"/>
  <c r="T22" i="8" s="1"/>
  <c r="Q22" i="8"/>
  <c r="U22" i="8" s="1"/>
  <c r="A22" i="8"/>
  <c r="R20" i="8"/>
  <c r="T20" i="8" s="1"/>
  <c r="Q20" i="8"/>
  <c r="U20" i="8" s="1"/>
  <c r="A20" i="8"/>
  <c r="P18" i="8"/>
  <c r="P33" i="8" s="1"/>
  <c r="O18" i="8"/>
  <c r="O33" i="8" s="1"/>
  <c r="N18" i="8"/>
  <c r="N33" i="8" s="1"/>
  <c r="M18" i="8"/>
  <c r="M33" i="8" s="1"/>
  <c r="L18" i="8"/>
  <c r="L33" i="8" s="1"/>
  <c r="K18" i="8"/>
  <c r="K33" i="8" s="1"/>
  <c r="J18" i="8"/>
  <c r="J33" i="8" s="1"/>
  <c r="I18" i="8"/>
  <c r="I33" i="8" s="1"/>
  <c r="H18" i="8"/>
  <c r="H33" i="8" s="1"/>
  <c r="G18" i="8"/>
  <c r="G33" i="8" s="1"/>
  <c r="F18" i="8"/>
  <c r="F33" i="8" s="1"/>
  <c r="E18" i="8"/>
  <c r="E33" i="8" s="1"/>
  <c r="D18" i="8"/>
  <c r="D33" i="8" s="1"/>
  <c r="C18" i="8"/>
  <c r="C33" i="8" s="1"/>
  <c r="R17" i="8"/>
  <c r="T17" i="8" s="1"/>
  <c r="Q17" i="8"/>
  <c r="U17" i="8" s="1"/>
  <c r="A17" i="8"/>
  <c r="R15" i="8"/>
  <c r="T15" i="8" s="1"/>
  <c r="Q15" i="8"/>
  <c r="U15" i="8" s="1"/>
  <c r="A15" i="8"/>
  <c r="R14" i="8"/>
  <c r="T14" i="8" s="1"/>
  <c r="Q14" i="8"/>
  <c r="U14" i="8" s="1"/>
  <c r="A14" i="8"/>
  <c r="R12" i="8"/>
  <c r="T12" i="8" s="1"/>
  <c r="Q12" i="8"/>
  <c r="U12" i="8" s="1"/>
  <c r="A12" i="8"/>
  <c r="R11" i="8"/>
  <c r="Q11" i="8"/>
  <c r="U11" i="8" s="1"/>
  <c r="A11" i="8"/>
  <c r="R10" i="8"/>
  <c r="T10" i="8" s="1"/>
  <c r="Q10" i="8"/>
  <c r="U10" i="8" s="1"/>
  <c r="A10" i="8"/>
  <c r="R9" i="8"/>
  <c r="T9" i="8" s="1"/>
  <c r="Q9" i="8"/>
  <c r="U9" i="8" s="1"/>
  <c r="A9" i="8"/>
  <c r="R7" i="8"/>
  <c r="T7" i="8" s="1"/>
  <c r="Q7" i="8"/>
  <c r="U7" i="8" s="1"/>
  <c r="A7" i="8"/>
  <c r="R6" i="8"/>
  <c r="T6" i="8" s="1"/>
  <c r="Q6" i="8"/>
  <c r="U6" i="8" s="1"/>
  <c r="A6" i="8"/>
  <c r="R5" i="8"/>
  <c r="T5" i="8" s="1"/>
  <c r="Q5" i="8"/>
  <c r="U5" i="8" s="1"/>
  <c r="A5" i="8"/>
  <c r="O3" i="8"/>
  <c r="G3" i="8"/>
  <c r="M3" i="8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R30" i="7"/>
  <c r="T30" i="7" s="1"/>
  <c r="Q30" i="7"/>
  <c r="U30" i="7" s="1"/>
  <c r="A30" i="7"/>
  <c r="R28" i="7"/>
  <c r="T28" i="7" s="1"/>
  <c r="Q28" i="7"/>
  <c r="U28" i="7" s="1"/>
  <c r="A28" i="7"/>
  <c r="R27" i="7"/>
  <c r="T27" i="7" s="1"/>
  <c r="Q27" i="7"/>
  <c r="U27" i="7" s="1"/>
  <c r="A27" i="7"/>
  <c r="R26" i="7"/>
  <c r="T26" i="7" s="1"/>
  <c r="Q26" i="7"/>
  <c r="U26" i="7" s="1"/>
  <c r="A26" i="7"/>
  <c r="R24" i="7"/>
  <c r="T24" i="7" s="1"/>
  <c r="Q24" i="7"/>
  <c r="U24" i="7" s="1"/>
  <c r="A24" i="7"/>
  <c r="R23" i="7"/>
  <c r="T23" i="7" s="1"/>
  <c r="Q23" i="7"/>
  <c r="U23" i="7" s="1"/>
  <c r="A23" i="7"/>
  <c r="R22" i="7"/>
  <c r="T22" i="7" s="1"/>
  <c r="Q22" i="7"/>
  <c r="U22" i="7" s="1"/>
  <c r="A22" i="7"/>
  <c r="R20" i="7"/>
  <c r="T20" i="7" s="1"/>
  <c r="Q20" i="7"/>
  <c r="U20" i="7" s="1"/>
  <c r="A20" i="7"/>
  <c r="P18" i="7"/>
  <c r="P33" i="7" s="1"/>
  <c r="O18" i="7"/>
  <c r="O33" i="7" s="1"/>
  <c r="N18" i="7"/>
  <c r="N33" i="7" s="1"/>
  <c r="M18" i="7"/>
  <c r="M33" i="7" s="1"/>
  <c r="L18" i="7"/>
  <c r="L33" i="7" s="1"/>
  <c r="K18" i="7"/>
  <c r="K33" i="7" s="1"/>
  <c r="J18" i="7"/>
  <c r="J33" i="7" s="1"/>
  <c r="I18" i="7"/>
  <c r="I33" i="7" s="1"/>
  <c r="H18" i="7"/>
  <c r="H33" i="7" s="1"/>
  <c r="G18" i="7"/>
  <c r="G33" i="7" s="1"/>
  <c r="F18" i="7"/>
  <c r="F33" i="7" s="1"/>
  <c r="E18" i="7"/>
  <c r="E33" i="7" s="1"/>
  <c r="D18" i="7"/>
  <c r="D33" i="7" s="1"/>
  <c r="C18" i="7"/>
  <c r="C33" i="7" s="1"/>
  <c r="R17" i="7"/>
  <c r="T17" i="7" s="1"/>
  <c r="Q17" i="7"/>
  <c r="U17" i="7" s="1"/>
  <c r="A17" i="7"/>
  <c r="R15" i="7"/>
  <c r="T15" i="7" s="1"/>
  <c r="Q15" i="7"/>
  <c r="U15" i="7" s="1"/>
  <c r="A15" i="7"/>
  <c r="R14" i="7"/>
  <c r="T14" i="7" s="1"/>
  <c r="Q14" i="7"/>
  <c r="U14" i="7" s="1"/>
  <c r="A14" i="7"/>
  <c r="R12" i="7"/>
  <c r="T12" i="7" s="1"/>
  <c r="Q12" i="7"/>
  <c r="U12" i="7" s="1"/>
  <c r="A12" i="7"/>
  <c r="R11" i="7"/>
  <c r="T11" i="7" s="1"/>
  <c r="Q11" i="7"/>
  <c r="U11" i="7" s="1"/>
  <c r="A11" i="7"/>
  <c r="R10" i="7"/>
  <c r="T10" i="7" s="1"/>
  <c r="Q10" i="7"/>
  <c r="U10" i="7" s="1"/>
  <c r="A10" i="7"/>
  <c r="R9" i="7"/>
  <c r="T9" i="7" s="1"/>
  <c r="Q9" i="7"/>
  <c r="U9" i="7" s="1"/>
  <c r="A9" i="7"/>
  <c r="R7" i="7"/>
  <c r="T7" i="7" s="1"/>
  <c r="Q7" i="7"/>
  <c r="U7" i="7" s="1"/>
  <c r="A7" i="7"/>
  <c r="R6" i="7"/>
  <c r="T6" i="7" s="1"/>
  <c r="Q6" i="7"/>
  <c r="U6" i="7" s="1"/>
  <c r="A6" i="7"/>
  <c r="R5" i="7"/>
  <c r="Q5" i="7"/>
  <c r="U5" i="7" s="1"/>
  <c r="A5" i="7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R30" i="6"/>
  <c r="T30" i="6" s="1"/>
  <c r="Q30" i="6"/>
  <c r="U30" i="6" s="1"/>
  <c r="A30" i="6"/>
  <c r="R28" i="6"/>
  <c r="T28" i="6" s="1"/>
  <c r="Q28" i="6"/>
  <c r="U28" i="6" s="1"/>
  <c r="A28" i="6"/>
  <c r="R27" i="6"/>
  <c r="T27" i="6" s="1"/>
  <c r="Q27" i="6"/>
  <c r="U27" i="6" s="1"/>
  <c r="A27" i="6"/>
  <c r="R26" i="6"/>
  <c r="T26" i="6" s="1"/>
  <c r="Q26" i="6"/>
  <c r="U26" i="6" s="1"/>
  <c r="A26" i="6"/>
  <c r="R24" i="6"/>
  <c r="T24" i="6" s="1"/>
  <c r="Q24" i="6"/>
  <c r="U24" i="6" s="1"/>
  <c r="A24" i="6"/>
  <c r="R23" i="6"/>
  <c r="T23" i="6" s="1"/>
  <c r="Q23" i="6"/>
  <c r="U23" i="6" s="1"/>
  <c r="A23" i="6"/>
  <c r="R22" i="6"/>
  <c r="T22" i="6" s="1"/>
  <c r="Q22" i="6"/>
  <c r="U22" i="6" s="1"/>
  <c r="A22" i="6"/>
  <c r="R20" i="6"/>
  <c r="T20" i="6" s="1"/>
  <c r="Q20" i="6"/>
  <c r="U20" i="6" s="1"/>
  <c r="A20" i="6"/>
  <c r="P18" i="6"/>
  <c r="P33" i="6" s="1"/>
  <c r="O18" i="6"/>
  <c r="O33" i="6" s="1"/>
  <c r="N18" i="6"/>
  <c r="N33" i="6" s="1"/>
  <c r="M18" i="6"/>
  <c r="M33" i="6" s="1"/>
  <c r="L18" i="6"/>
  <c r="L33" i="6" s="1"/>
  <c r="K18" i="6"/>
  <c r="K33" i="6" s="1"/>
  <c r="J18" i="6"/>
  <c r="J33" i="6" s="1"/>
  <c r="I18" i="6"/>
  <c r="I33" i="6" s="1"/>
  <c r="H18" i="6"/>
  <c r="H33" i="6" s="1"/>
  <c r="G18" i="6"/>
  <c r="G33" i="6" s="1"/>
  <c r="F18" i="6"/>
  <c r="F33" i="6" s="1"/>
  <c r="E18" i="6"/>
  <c r="E33" i="6" s="1"/>
  <c r="D18" i="6"/>
  <c r="D33" i="6" s="1"/>
  <c r="C18" i="6"/>
  <c r="C33" i="6" s="1"/>
  <c r="R17" i="6"/>
  <c r="T17" i="6" s="1"/>
  <c r="Q17" i="6"/>
  <c r="U17" i="6" s="1"/>
  <c r="A17" i="6"/>
  <c r="R15" i="6"/>
  <c r="T15" i="6" s="1"/>
  <c r="Q15" i="6"/>
  <c r="U15" i="6" s="1"/>
  <c r="A15" i="6"/>
  <c r="R14" i="6"/>
  <c r="T14" i="6" s="1"/>
  <c r="Q14" i="6"/>
  <c r="U14" i="6" s="1"/>
  <c r="A14" i="6"/>
  <c r="R12" i="6"/>
  <c r="T12" i="6" s="1"/>
  <c r="Q12" i="6"/>
  <c r="U12" i="6" s="1"/>
  <c r="A12" i="6"/>
  <c r="R11" i="6"/>
  <c r="T11" i="6" s="1"/>
  <c r="Q11" i="6"/>
  <c r="U11" i="6" s="1"/>
  <c r="A11" i="6"/>
  <c r="R10" i="6"/>
  <c r="T10" i="6" s="1"/>
  <c r="Q10" i="6"/>
  <c r="U10" i="6" s="1"/>
  <c r="A10" i="6"/>
  <c r="R9" i="6"/>
  <c r="T9" i="6" s="1"/>
  <c r="Q9" i="6"/>
  <c r="U9" i="6" s="1"/>
  <c r="A9" i="6"/>
  <c r="R7" i="6"/>
  <c r="T7" i="6" s="1"/>
  <c r="Q7" i="6"/>
  <c r="U7" i="6" s="1"/>
  <c r="A7" i="6"/>
  <c r="R6" i="6"/>
  <c r="T6" i="6" s="1"/>
  <c r="Q6" i="6"/>
  <c r="U6" i="6" s="1"/>
  <c r="A6" i="6"/>
  <c r="R5" i="6"/>
  <c r="Q5" i="6"/>
  <c r="U5" i="6" s="1"/>
  <c r="A5" i="6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R30" i="4"/>
  <c r="T30" i="4" s="1"/>
  <c r="Q30" i="4"/>
  <c r="U30" i="4" s="1"/>
  <c r="A30" i="4"/>
  <c r="R28" i="4"/>
  <c r="T28" i="4" s="1"/>
  <c r="Q28" i="4"/>
  <c r="U28" i="4" s="1"/>
  <c r="A28" i="4"/>
  <c r="R27" i="4"/>
  <c r="T27" i="4" s="1"/>
  <c r="Q27" i="4"/>
  <c r="U27" i="4" s="1"/>
  <c r="A27" i="4"/>
  <c r="R26" i="4"/>
  <c r="T26" i="4" s="1"/>
  <c r="Q26" i="4"/>
  <c r="U26" i="4" s="1"/>
  <c r="A26" i="4"/>
  <c r="R24" i="4"/>
  <c r="Q24" i="4"/>
  <c r="U24" i="4" s="1"/>
  <c r="A24" i="4"/>
  <c r="R23" i="4"/>
  <c r="T23" i="4" s="1"/>
  <c r="Q23" i="4"/>
  <c r="U23" i="4" s="1"/>
  <c r="A23" i="4"/>
  <c r="R22" i="4"/>
  <c r="T22" i="4" s="1"/>
  <c r="Q22" i="4"/>
  <c r="U22" i="4" s="1"/>
  <c r="A22" i="4"/>
  <c r="R20" i="4"/>
  <c r="T20" i="4" s="1"/>
  <c r="Q20" i="4"/>
  <c r="U20" i="4" s="1"/>
  <c r="A20" i="4"/>
  <c r="P18" i="4"/>
  <c r="P33" i="4" s="1"/>
  <c r="O18" i="4"/>
  <c r="O33" i="4" s="1"/>
  <c r="N18" i="4"/>
  <c r="N33" i="4" s="1"/>
  <c r="M18" i="4"/>
  <c r="M33" i="4" s="1"/>
  <c r="L18" i="4"/>
  <c r="L33" i="4" s="1"/>
  <c r="K18" i="4"/>
  <c r="K33" i="4" s="1"/>
  <c r="J18" i="4"/>
  <c r="J33" i="4" s="1"/>
  <c r="I18" i="4"/>
  <c r="I33" i="4" s="1"/>
  <c r="H18" i="4"/>
  <c r="H33" i="4" s="1"/>
  <c r="G18" i="4"/>
  <c r="G33" i="4" s="1"/>
  <c r="F18" i="4"/>
  <c r="F33" i="4" s="1"/>
  <c r="E18" i="4"/>
  <c r="E33" i="4" s="1"/>
  <c r="D18" i="4"/>
  <c r="D33" i="4" s="1"/>
  <c r="C18" i="4"/>
  <c r="C33" i="4" s="1"/>
  <c r="R17" i="4"/>
  <c r="T17" i="4" s="1"/>
  <c r="Q17" i="4"/>
  <c r="U17" i="4" s="1"/>
  <c r="A17" i="4"/>
  <c r="R15" i="4"/>
  <c r="T15" i="4" s="1"/>
  <c r="Q15" i="4"/>
  <c r="U15" i="4" s="1"/>
  <c r="A15" i="4"/>
  <c r="R14" i="4"/>
  <c r="T14" i="4" s="1"/>
  <c r="Q14" i="4"/>
  <c r="U14" i="4" s="1"/>
  <c r="A14" i="4"/>
  <c r="R12" i="4"/>
  <c r="T12" i="4" s="1"/>
  <c r="Q12" i="4"/>
  <c r="U12" i="4" s="1"/>
  <c r="A12" i="4"/>
  <c r="R11" i="4"/>
  <c r="T11" i="4" s="1"/>
  <c r="Q11" i="4"/>
  <c r="U11" i="4" s="1"/>
  <c r="A11" i="4"/>
  <c r="R10" i="4"/>
  <c r="Q10" i="4"/>
  <c r="U10" i="4" s="1"/>
  <c r="A10" i="4"/>
  <c r="R9" i="4"/>
  <c r="T9" i="4" s="1"/>
  <c r="Q9" i="4"/>
  <c r="U9" i="4" s="1"/>
  <c r="A9" i="4"/>
  <c r="R7" i="4"/>
  <c r="T7" i="4" s="1"/>
  <c r="Q7" i="4"/>
  <c r="U7" i="4" s="1"/>
  <c r="A7" i="4"/>
  <c r="R6" i="4"/>
  <c r="T6" i="4" s="1"/>
  <c r="Q6" i="4"/>
  <c r="U6" i="4" s="1"/>
  <c r="A6" i="4"/>
  <c r="R5" i="4"/>
  <c r="Q5" i="4"/>
  <c r="U5" i="4" s="1"/>
  <c r="A5" i="4"/>
  <c r="R30" i="1"/>
  <c r="T30" i="1" s="1"/>
  <c r="Q30" i="1"/>
  <c r="W30" i="1" s="1"/>
  <c r="R28" i="1"/>
  <c r="T28" i="1" s="1"/>
  <c r="Q28" i="1"/>
  <c r="W28" i="1" s="1"/>
  <c r="R27" i="1"/>
  <c r="T27" i="1" s="1"/>
  <c r="Q27" i="1"/>
  <c r="W27" i="1" s="1"/>
  <c r="R26" i="1"/>
  <c r="T26" i="1" s="1"/>
  <c r="Q26" i="1"/>
  <c r="W26" i="1" s="1"/>
  <c r="R24" i="1"/>
  <c r="T24" i="1" s="1"/>
  <c r="Q24" i="1"/>
  <c r="W24" i="1" s="1"/>
  <c r="R23" i="1"/>
  <c r="T23" i="1" s="1"/>
  <c r="Q23" i="1"/>
  <c r="W23" i="1" s="1"/>
  <c r="R22" i="1"/>
  <c r="T22" i="1" s="1"/>
  <c r="Q22" i="1"/>
  <c r="W22" i="1" s="1"/>
  <c r="R20" i="1"/>
  <c r="T20" i="1" s="1"/>
  <c r="Q20" i="1"/>
  <c r="R17" i="1"/>
  <c r="T17" i="1" s="1"/>
  <c r="Q17" i="1"/>
  <c r="W17" i="1" s="1"/>
  <c r="R15" i="1"/>
  <c r="T15" i="1" s="1"/>
  <c r="Q15" i="1"/>
  <c r="W15" i="1" s="1"/>
  <c r="R14" i="1"/>
  <c r="T14" i="1" s="1"/>
  <c r="Q14" i="1"/>
  <c r="W14" i="1" s="1"/>
  <c r="R12" i="1"/>
  <c r="T12" i="1" s="1"/>
  <c r="Q12" i="1"/>
  <c r="W12" i="1" s="1"/>
  <c r="R11" i="1"/>
  <c r="T11" i="1" s="1"/>
  <c r="Q11" i="1"/>
  <c r="W11" i="1" s="1"/>
  <c r="R10" i="1"/>
  <c r="T10" i="1" s="1"/>
  <c r="Q10" i="1"/>
  <c r="W10" i="1" s="1"/>
  <c r="R9" i="1"/>
  <c r="Q9" i="1"/>
  <c r="W9" i="1" s="1"/>
  <c r="R7" i="1"/>
  <c r="T7" i="1" s="1"/>
  <c r="Q7" i="1"/>
  <c r="W7" i="1" s="1"/>
  <c r="R6" i="1"/>
  <c r="T6" i="1" s="1"/>
  <c r="Q6" i="1"/>
  <c r="W6" i="1" s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Q31" i="1" l="1"/>
  <c r="W20" i="1"/>
  <c r="T31" i="1"/>
  <c r="F3" i="20"/>
  <c r="E2" i="20"/>
  <c r="E1" i="20" s="1"/>
  <c r="P3" i="36"/>
  <c r="O2" i="36"/>
  <c r="O1" i="36" s="1"/>
  <c r="P3" i="46"/>
  <c r="O2" i="46"/>
  <c r="O1" i="46" s="1"/>
  <c r="F3" i="49"/>
  <c r="E2" i="49"/>
  <c r="E1" i="49" s="1"/>
  <c r="N3" i="23"/>
  <c r="M2" i="23"/>
  <c r="M1" i="23" s="1"/>
  <c r="J3" i="25"/>
  <c r="I2" i="25"/>
  <c r="I1" i="25" s="1"/>
  <c r="J3" i="26"/>
  <c r="I2" i="26"/>
  <c r="I1" i="26" s="1"/>
  <c r="P3" i="31"/>
  <c r="O2" i="31"/>
  <c r="O1" i="31" s="1"/>
  <c r="P3" i="32"/>
  <c r="O2" i="32"/>
  <c r="O1" i="32" s="1"/>
  <c r="P3" i="44"/>
  <c r="O2" i="44"/>
  <c r="O1" i="44" s="1"/>
  <c r="P3" i="48"/>
  <c r="O2" i="48"/>
  <c r="O1" i="48" s="1"/>
  <c r="N3" i="49"/>
  <c r="M2" i="49"/>
  <c r="M1" i="49" s="1"/>
  <c r="F3" i="54"/>
  <c r="E2" i="54"/>
  <c r="E1" i="54" s="1"/>
  <c r="P3" i="56"/>
  <c r="O2" i="56"/>
  <c r="O1" i="56" s="1"/>
  <c r="N3" i="28"/>
  <c r="M2" i="28"/>
  <c r="M1" i="28" s="1"/>
  <c r="J3" i="32"/>
  <c r="I2" i="32"/>
  <c r="I1" i="32" s="1"/>
  <c r="P3" i="33"/>
  <c r="O2" i="33"/>
  <c r="O1" i="33" s="1"/>
  <c r="P3" i="40"/>
  <c r="O2" i="40"/>
  <c r="O1" i="40" s="1"/>
  <c r="P3" i="42"/>
  <c r="O2" i="42"/>
  <c r="O1" i="42" s="1"/>
  <c r="P3" i="43"/>
  <c r="O2" i="43"/>
  <c r="O1" i="43" s="1"/>
  <c r="F3" i="48"/>
  <c r="E2" i="48"/>
  <c r="E1" i="48" s="1"/>
  <c r="P3" i="51"/>
  <c r="O2" i="51"/>
  <c r="O1" i="51" s="1"/>
  <c r="N3" i="54"/>
  <c r="M2" i="54"/>
  <c r="M1" i="54" s="1"/>
  <c r="J3" i="56"/>
  <c r="I2" i="56"/>
  <c r="I1" i="56" s="1"/>
  <c r="P3" i="19"/>
  <c r="O2" i="19"/>
  <c r="O1" i="19" s="1"/>
  <c r="P3" i="24"/>
  <c r="O2" i="24"/>
  <c r="O1" i="24" s="1"/>
  <c r="H3" i="28"/>
  <c r="G2" i="28"/>
  <c r="G1" i="28" s="1"/>
  <c r="J3" i="33"/>
  <c r="I2" i="33"/>
  <c r="I1" i="33" s="1"/>
  <c r="J3" i="48"/>
  <c r="I2" i="48"/>
  <c r="I1" i="48" s="1"/>
  <c r="J3" i="51"/>
  <c r="I2" i="51"/>
  <c r="I1" i="51" s="1"/>
  <c r="P3" i="57"/>
  <c r="O2" i="57"/>
  <c r="O1" i="57" s="1"/>
  <c r="P3" i="23"/>
  <c r="O2" i="23"/>
  <c r="O1" i="23" s="1"/>
  <c r="P3" i="49"/>
  <c r="O2" i="49"/>
  <c r="O1" i="49" s="1"/>
  <c r="P3" i="55"/>
  <c r="O2" i="55"/>
  <c r="O1" i="55" s="1"/>
  <c r="F3" i="23"/>
  <c r="E2" i="23"/>
  <c r="E1" i="23" s="1"/>
  <c r="J3" i="19"/>
  <c r="I2" i="19"/>
  <c r="I1" i="19" s="1"/>
  <c r="P3" i="28"/>
  <c r="O2" i="28"/>
  <c r="O1" i="28" s="1"/>
  <c r="P3" i="29"/>
  <c r="O2" i="29"/>
  <c r="O1" i="29" s="1"/>
  <c r="P3" i="30"/>
  <c r="O2" i="30"/>
  <c r="O1" i="30" s="1"/>
  <c r="P3" i="38"/>
  <c r="O2" i="38"/>
  <c r="O1" i="38" s="1"/>
  <c r="P3" i="45"/>
  <c r="O2" i="45"/>
  <c r="O1" i="45" s="1"/>
  <c r="N3" i="48"/>
  <c r="M2" i="48"/>
  <c r="M1" i="48" s="1"/>
  <c r="J3" i="57"/>
  <c r="I2" i="57"/>
  <c r="I1" i="57" s="1"/>
  <c r="P3" i="26"/>
  <c r="O2" i="26"/>
  <c r="O1" i="26" s="1"/>
  <c r="P3" i="20"/>
  <c r="O2" i="20"/>
  <c r="O1" i="20" s="1"/>
  <c r="P3" i="22"/>
  <c r="O2" i="22"/>
  <c r="O1" i="22" s="1"/>
  <c r="P3" i="27"/>
  <c r="O2" i="27"/>
  <c r="O1" i="27" s="1"/>
  <c r="J3" i="29"/>
  <c r="I2" i="29"/>
  <c r="I1" i="29" s="1"/>
  <c r="J3" i="45"/>
  <c r="I2" i="45"/>
  <c r="I1" i="45" s="1"/>
  <c r="P3" i="50"/>
  <c r="O2" i="50"/>
  <c r="O1" i="50" s="1"/>
  <c r="N3" i="20"/>
  <c r="M2" i="20"/>
  <c r="M1" i="20" s="1"/>
  <c r="P3" i="25"/>
  <c r="O2" i="25"/>
  <c r="O1" i="25" s="1"/>
  <c r="P3" i="54"/>
  <c r="O2" i="54"/>
  <c r="O1" i="54" s="1"/>
  <c r="J3" i="27"/>
  <c r="I2" i="27"/>
  <c r="I1" i="27" s="1"/>
  <c r="P3" i="41"/>
  <c r="O2" i="41"/>
  <c r="O1" i="41" s="1"/>
  <c r="P3" i="52"/>
  <c r="O2" i="52"/>
  <c r="O1" i="52" s="1"/>
  <c r="P3" i="47"/>
  <c r="O2" i="47"/>
  <c r="O1" i="47" s="1"/>
  <c r="P3" i="39"/>
  <c r="O2" i="39"/>
  <c r="O1" i="39" s="1"/>
  <c r="J3" i="37"/>
  <c r="I2" i="37"/>
  <c r="I1" i="37" s="1"/>
  <c r="P3" i="37"/>
  <c r="O2" i="37"/>
  <c r="O1" i="37" s="1"/>
  <c r="P3" i="34"/>
  <c r="O2" i="34"/>
  <c r="O1" i="34" s="1"/>
  <c r="P3" i="21"/>
  <c r="O2" i="21"/>
  <c r="O1" i="21" s="1"/>
  <c r="J3" i="21"/>
  <c r="I2" i="21"/>
  <c r="I1" i="21" s="1"/>
  <c r="P3" i="7"/>
  <c r="O2" i="7"/>
  <c r="O1" i="7" s="1"/>
  <c r="P3" i="13"/>
  <c r="O2" i="13"/>
  <c r="O1" i="13" s="1"/>
  <c r="P3" i="15"/>
  <c r="O2" i="15"/>
  <c r="O1" i="15" s="1"/>
  <c r="P3" i="18"/>
  <c r="O2" i="18"/>
  <c r="O1" i="18" s="1"/>
  <c r="P3" i="11"/>
  <c r="O2" i="11"/>
  <c r="O1" i="11" s="1"/>
  <c r="P3" i="9"/>
  <c r="O2" i="9"/>
  <c r="O1" i="9" s="1"/>
  <c r="P3" i="12"/>
  <c r="O2" i="12"/>
  <c r="O1" i="12" s="1"/>
  <c r="P3" i="14"/>
  <c r="O2" i="14"/>
  <c r="O1" i="14" s="1"/>
  <c r="N3" i="8"/>
  <c r="M2" i="8"/>
  <c r="M1" i="8" s="1"/>
  <c r="P3" i="10"/>
  <c r="O2" i="10"/>
  <c r="O1" i="10" s="1"/>
  <c r="J3" i="14"/>
  <c r="I2" i="14"/>
  <c r="I1" i="14" s="1"/>
  <c r="P3" i="16"/>
  <c r="O2" i="16"/>
  <c r="O1" i="16" s="1"/>
  <c r="H3" i="8"/>
  <c r="G2" i="8"/>
  <c r="G1" i="8" s="1"/>
  <c r="J3" i="10"/>
  <c r="I2" i="10"/>
  <c r="I1" i="10" s="1"/>
  <c r="F3" i="12"/>
  <c r="E2" i="12"/>
  <c r="E1" i="12" s="1"/>
  <c r="I2" i="4"/>
  <c r="I1" i="4" s="1"/>
  <c r="P3" i="8"/>
  <c r="O2" i="8"/>
  <c r="O1" i="8" s="1"/>
  <c r="N3" i="12"/>
  <c r="M2" i="12"/>
  <c r="M1" i="12" s="1"/>
  <c r="P3" i="6"/>
  <c r="O2" i="6"/>
  <c r="O1" i="6" s="1"/>
  <c r="P3" i="17"/>
  <c r="O2" i="17"/>
  <c r="O1" i="17" s="1"/>
  <c r="J3" i="4"/>
  <c r="R31" i="1"/>
  <c r="I3" i="7"/>
  <c r="R18" i="54"/>
  <c r="R33" i="54" s="1"/>
  <c r="R18" i="48"/>
  <c r="R18" i="37"/>
  <c r="R75" i="5"/>
  <c r="S75" i="5"/>
  <c r="J74" i="5"/>
  <c r="K74" i="5"/>
  <c r="K109" i="5"/>
  <c r="J109" i="5"/>
  <c r="R110" i="5"/>
  <c r="S110" i="5"/>
  <c r="O3" i="4"/>
  <c r="C110" i="5"/>
  <c r="B110" i="5"/>
  <c r="Q18" i="8"/>
  <c r="Q33" i="8" s="1"/>
  <c r="Q36" i="8" s="1"/>
  <c r="R18" i="33"/>
  <c r="R33" i="33" s="1"/>
  <c r="R18" i="32"/>
  <c r="R18" i="29"/>
  <c r="T31" i="29"/>
  <c r="D104" i="5"/>
  <c r="R18" i="28"/>
  <c r="T31" i="28"/>
  <c r="Q18" i="28"/>
  <c r="R18" i="27"/>
  <c r="R33" i="27" s="1"/>
  <c r="R18" i="23"/>
  <c r="R18" i="26"/>
  <c r="R18" i="25"/>
  <c r="R33" i="25" s="1"/>
  <c r="T31" i="25"/>
  <c r="T31" i="24"/>
  <c r="T31" i="23"/>
  <c r="R18" i="22"/>
  <c r="R33" i="22" s="1"/>
  <c r="T31" i="21"/>
  <c r="R18" i="21"/>
  <c r="R33" i="21" s="1"/>
  <c r="R18" i="18"/>
  <c r="R18" i="17"/>
  <c r="T31" i="15"/>
  <c r="R18" i="14"/>
  <c r="R18" i="11"/>
  <c r="R33" i="11" s="1"/>
  <c r="R36" i="11" s="1"/>
  <c r="R31" i="10"/>
  <c r="R31" i="9"/>
  <c r="R18" i="9"/>
  <c r="R33" i="9" s="1"/>
  <c r="R36" i="9" s="1"/>
  <c r="D18" i="5"/>
  <c r="D19" i="5"/>
  <c r="D17" i="5"/>
  <c r="D16" i="5"/>
  <c r="R18" i="20"/>
  <c r="R33" i="20" s="1"/>
  <c r="R18" i="19"/>
  <c r="R18" i="16"/>
  <c r="T27" i="5"/>
  <c r="T24" i="5"/>
  <c r="T28" i="5"/>
  <c r="T25" i="5"/>
  <c r="T29" i="5"/>
  <c r="R18" i="15"/>
  <c r="R33" i="15" s="1"/>
  <c r="T26" i="5"/>
  <c r="T30" i="5"/>
  <c r="T18" i="5"/>
  <c r="T22" i="5"/>
  <c r="T19" i="5"/>
  <c r="T23" i="5"/>
  <c r="T20" i="5"/>
  <c r="T17" i="5"/>
  <c r="T21" i="5"/>
  <c r="T13" i="5"/>
  <c r="R18" i="13"/>
  <c r="T10" i="5"/>
  <c r="T14" i="5"/>
  <c r="T11" i="5"/>
  <c r="T15" i="5"/>
  <c r="T12" i="5"/>
  <c r="T16" i="5"/>
  <c r="T6" i="5"/>
  <c r="T4" i="5"/>
  <c r="T8" i="5"/>
  <c r="T5" i="5"/>
  <c r="T9" i="5"/>
  <c r="T3" i="5"/>
  <c r="T7" i="5"/>
  <c r="L27" i="5"/>
  <c r="L24" i="5"/>
  <c r="L28" i="5"/>
  <c r="L26" i="5"/>
  <c r="L30" i="5"/>
  <c r="L25" i="5"/>
  <c r="L29" i="5"/>
  <c r="L21" i="5"/>
  <c r="L17" i="5"/>
  <c r="L18" i="5"/>
  <c r="L22" i="5"/>
  <c r="L19" i="5"/>
  <c r="L23" i="5"/>
  <c r="R18" i="10"/>
  <c r="R33" i="10" s="1"/>
  <c r="R36" i="10" s="1"/>
  <c r="L20" i="5"/>
  <c r="L16" i="5"/>
  <c r="L12" i="5"/>
  <c r="L13" i="5"/>
  <c r="L10" i="5"/>
  <c r="L14" i="5"/>
  <c r="L11" i="5"/>
  <c r="L15" i="5"/>
  <c r="L5" i="5"/>
  <c r="L9" i="5"/>
  <c r="L7" i="5"/>
  <c r="L6" i="5"/>
  <c r="L4" i="5"/>
  <c r="L8" i="5"/>
  <c r="L3" i="5"/>
  <c r="D28" i="5"/>
  <c r="D32" i="5"/>
  <c r="D33" i="5"/>
  <c r="D30" i="5"/>
  <c r="D29" i="5"/>
  <c r="D27" i="5"/>
  <c r="D31" i="5"/>
  <c r="D26" i="5"/>
  <c r="D22" i="5"/>
  <c r="D23" i="5"/>
  <c r="D20" i="5"/>
  <c r="D24" i="5"/>
  <c r="D25" i="5"/>
  <c r="D15" i="5"/>
  <c r="D14" i="5"/>
  <c r="R31" i="4"/>
  <c r="D13" i="5"/>
  <c r="C79" i="5"/>
  <c r="B79" i="5"/>
  <c r="K44" i="5"/>
  <c r="J44" i="5"/>
  <c r="C45" i="5"/>
  <c r="B45" i="5"/>
  <c r="S44" i="5"/>
  <c r="R44" i="5"/>
  <c r="R18" i="6"/>
  <c r="R33" i="6" s="1"/>
  <c r="R36" i="6" s="1"/>
  <c r="D21" i="5"/>
  <c r="Q6" i="5"/>
  <c r="R5" i="5"/>
  <c r="S5" i="5"/>
  <c r="R18" i="12"/>
  <c r="R33" i="12" s="1"/>
  <c r="R36" i="12" s="1"/>
  <c r="C4" i="5"/>
  <c r="B4" i="5"/>
  <c r="A5" i="5"/>
  <c r="I5" i="5"/>
  <c r="K4" i="5"/>
  <c r="J4" i="5"/>
  <c r="R18" i="7"/>
  <c r="R33" i="7" s="1"/>
  <c r="R36" i="7" s="1"/>
  <c r="T31" i="6"/>
  <c r="T10" i="4"/>
  <c r="R18" i="4"/>
  <c r="R33" i="4" s="1"/>
  <c r="R36" i="4" s="1"/>
  <c r="Q31" i="57"/>
  <c r="R31" i="57"/>
  <c r="K3" i="57"/>
  <c r="E3" i="57"/>
  <c r="M3" i="57"/>
  <c r="R33" i="57"/>
  <c r="T5" i="57"/>
  <c r="T18" i="57" s="1"/>
  <c r="T33" i="57" s="1"/>
  <c r="Q18" i="57"/>
  <c r="Q33" i="57" s="1"/>
  <c r="G3" i="57"/>
  <c r="T31" i="56"/>
  <c r="T10" i="56"/>
  <c r="T27" i="56"/>
  <c r="R31" i="56"/>
  <c r="K3" i="56"/>
  <c r="E3" i="56"/>
  <c r="M3" i="56"/>
  <c r="W24" i="56"/>
  <c r="R33" i="56"/>
  <c r="T5" i="56"/>
  <c r="T18" i="56" s="1"/>
  <c r="T33" i="56" s="1"/>
  <c r="Q18" i="56"/>
  <c r="Q33" i="56" s="1"/>
  <c r="G3" i="56"/>
  <c r="T31" i="55"/>
  <c r="I3" i="55"/>
  <c r="Q31" i="55"/>
  <c r="R31" i="55"/>
  <c r="K3" i="55"/>
  <c r="E3" i="55"/>
  <c r="M3" i="55"/>
  <c r="R33" i="55"/>
  <c r="T5" i="55"/>
  <c r="T18" i="55" s="1"/>
  <c r="T33" i="55" s="1"/>
  <c r="Q18" i="55"/>
  <c r="Q33" i="55" s="1"/>
  <c r="G3" i="55"/>
  <c r="T31" i="54"/>
  <c r="I3" i="54"/>
  <c r="Q31" i="54"/>
  <c r="R31" i="54"/>
  <c r="K3" i="54"/>
  <c r="T5" i="54"/>
  <c r="T18" i="54" s="1"/>
  <c r="T33" i="54" s="1"/>
  <c r="Q18" i="54"/>
  <c r="Q33" i="54" s="1"/>
  <c r="G3" i="54"/>
  <c r="T10" i="53"/>
  <c r="T27" i="53"/>
  <c r="T31" i="53" s="1"/>
  <c r="R31" i="53"/>
  <c r="L3" i="53"/>
  <c r="Q31" i="53"/>
  <c r="F3" i="53"/>
  <c r="N3" i="53"/>
  <c r="R33" i="53"/>
  <c r="T5" i="53"/>
  <c r="Q18" i="53"/>
  <c r="Q33" i="53" s="1"/>
  <c r="H3" i="53"/>
  <c r="W20" i="52"/>
  <c r="I3" i="52"/>
  <c r="Q31" i="52"/>
  <c r="K3" i="52"/>
  <c r="T24" i="52"/>
  <c r="T31" i="52" s="1"/>
  <c r="E3" i="52"/>
  <c r="M3" i="52"/>
  <c r="R33" i="52"/>
  <c r="T5" i="52"/>
  <c r="T18" i="52" s="1"/>
  <c r="T33" i="52" s="1"/>
  <c r="Q18" i="52"/>
  <c r="Q33" i="52" s="1"/>
  <c r="G3" i="52"/>
  <c r="Q31" i="51"/>
  <c r="R31" i="51"/>
  <c r="K3" i="51"/>
  <c r="E3" i="51"/>
  <c r="M3" i="51"/>
  <c r="R33" i="51"/>
  <c r="T5" i="51"/>
  <c r="T18" i="51" s="1"/>
  <c r="T33" i="51" s="1"/>
  <c r="Q18" i="51"/>
  <c r="Q33" i="51" s="1"/>
  <c r="G3" i="51"/>
  <c r="T31" i="50"/>
  <c r="I3" i="50"/>
  <c r="Q31" i="50"/>
  <c r="R31" i="50"/>
  <c r="K3" i="50"/>
  <c r="E3" i="50"/>
  <c r="M3" i="50"/>
  <c r="R33" i="50"/>
  <c r="T5" i="50"/>
  <c r="T18" i="50" s="1"/>
  <c r="T33" i="50" s="1"/>
  <c r="Q18" i="50"/>
  <c r="Q33" i="50" s="1"/>
  <c r="G3" i="50"/>
  <c r="T31" i="49"/>
  <c r="I3" i="49"/>
  <c r="Q31" i="49"/>
  <c r="R31" i="49"/>
  <c r="K3" i="49"/>
  <c r="R33" i="49"/>
  <c r="T5" i="49"/>
  <c r="T18" i="49" s="1"/>
  <c r="T33" i="49" s="1"/>
  <c r="Q18" i="49"/>
  <c r="Q33" i="49" s="1"/>
  <c r="G3" i="49"/>
  <c r="R33" i="48"/>
  <c r="T31" i="48"/>
  <c r="Q31" i="48"/>
  <c r="R31" i="48"/>
  <c r="K3" i="48"/>
  <c r="T5" i="48"/>
  <c r="T18" i="48" s="1"/>
  <c r="T33" i="48" s="1"/>
  <c r="Q18" i="48"/>
  <c r="Q33" i="48" s="1"/>
  <c r="G3" i="48"/>
  <c r="I3" i="47"/>
  <c r="Q31" i="47"/>
  <c r="T27" i="47"/>
  <c r="T31" i="47" s="1"/>
  <c r="K3" i="47"/>
  <c r="E3" i="47"/>
  <c r="M3" i="47"/>
  <c r="R33" i="47"/>
  <c r="T5" i="47"/>
  <c r="T18" i="47" s="1"/>
  <c r="T33" i="47" s="1"/>
  <c r="Q18" i="47"/>
  <c r="Q33" i="47" s="1"/>
  <c r="G3" i="47"/>
  <c r="I3" i="46"/>
  <c r="Q31" i="46"/>
  <c r="R31" i="46"/>
  <c r="K3" i="46"/>
  <c r="E3" i="46"/>
  <c r="M3" i="46"/>
  <c r="R33" i="46"/>
  <c r="T5" i="46"/>
  <c r="T18" i="46" s="1"/>
  <c r="T33" i="46" s="1"/>
  <c r="Q18" i="46"/>
  <c r="Q33" i="46" s="1"/>
  <c r="G3" i="46"/>
  <c r="T31" i="45"/>
  <c r="Q31" i="45"/>
  <c r="R31" i="45"/>
  <c r="K3" i="45"/>
  <c r="Q33" i="45"/>
  <c r="E3" i="45"/>
  <c r="M3" i="45"/>
  <c r="R33" i="45"/>
  <c r="T5" i="45"/>
  <c r="T18" i="45" s="1"/>
  <c r="T33" i="45" s="1"/>
  <c r="Q18" i="45"/>
  <c r="G3" i="45"/>
  <c r="Q33" i="44"/>
  <c r="R33" i="44"/>
  <c r="T31" i="44"/>
  <c r="I3" i="44"/>
  <c r="Q31" i="44"/>
  <c r="R31" i="44"/>
  <c r="K3" i="44"/>
  <c r="E3" i="44"/>
  <c r="M3" i="44"/>
  <c r="T6" i="44"/>
  <c r="T18" i="44" s="1"/>
  <c r="T33" i="44" s="1"/>
  <c r="W6" i="44"/>
  <c r="G3" i="44"/>
  <c r="T31" i="43"/>
  <c r="I3" i="43"/>
  <c r="Q31" i="43"/>
  <c r="K3" i="43"/>
  <c r="E3" i="43"/>
  <c r="M3" i="43"/>
  <c r="R33" i="43"/>
  <c r="T5" i="43"/>
  <c r="T18" i="43" s="1"/>
  <c r="T33" i="43" s="1"/>
  <c r="Q18" i="43"/>
  <c r="Q33" i="43" s="1"/>
  <c r="G3" i="43"/>
  <c r="T31" i="42"/>
  <c r="I3" i="42"/>
  <c r="Q31" i="42"/>
  <c r="R31" i="42"/>
  <c r="K3" i="42"/>
  <c r="E3" i="42"/>
  <c r="M3" i="42"/>
  <c r="R33" i="42"/>
  <c r="T5" i="42"/>
  <c r="T18" i="42" s="1"/>
  <c r="T33" i="42" s="1"/>
  <c r="Q18" i="42"/>
  <c r="Q33" i="42" s="1"/>
  <c r="G3" i="42"/>
  <c r="I3" i="41"/>
  <c r="Q31" i="41"/>
  <c r="R31" i="41"/>
  <c r="K3" i="41"/>
  <c r="E3" i="41"/>
  <c r="M3" i="41"/>
  <c r="R33" i="41"/>
  <c r="T5" i="41"/>
  <c r="T18" i="41" s="1"/>
  <c r="T33" i="41" s="1"/>
  <c r="Q18" i="41"/>
  <c r="Q33" i="41" s="1"/>
  <c r="G3" i="41"/>
  <c r="R33" i="40"/>
  <c r="T31" i="40"/>
  <c r="I3" i="40"/>
  <c r="Q31" i="40"/>
  <c r="R31" i="40"/>
  <c r="K3" i="40"/>
  <c r="E3" i="40"/>
  <c r="M3" i="40"/>
  <c r="T6" i="40"/>
  <c r="T18" i="40" s="1"/>
  <c r="T33" i="40" s="1"/>
  <c r="Q18" i="40"/>
  <c r="Q33" i="40" s="1"/>
  <c r="G3" i="40"/>
  <c r="I3" i="39"/>
  <c r="Q31" i="39"/>
  <c r="R31" i="39"/>
  <c r="K3" i="39"/>
  <c r="E3" i="39"/>
  <c r="M3" i="39"/>
  <c r="R33" i="39"/>
  <c r="T5" i="39"/>
  <c r="T18" i="39" s="1"/>
  <c r="T33" i="39" s="1"/>
  <c r="Q18" i="39"/>
  <c r="Q33" i="39" s="1"/>
  <c r="G3" i="39"/>
  <c r="I3" i="38"/>
  <c r="Q31" i="38"/>
  <c r="R31" i="38"/>
  <c r="K3" i="38"/>
  <c r="E3" i="38"/>
  <c r="M3" i="38"/>
  <c r="R33" i="38"/>
  <c r="T5" i="38"/>
  <c r="T18" i="38" s="1"/>
  <c r="T33" i="38" s="1"/>
  <c r="Q18" i="38"/>
  <c r="Q33" i="38" s="1"/>
  <c r="G3" i="38"/>
  <c r="T31" i="37"/>
  <c r="Q31" i="37"/>
  <c r="R31" i="37"/>
  <c r="K3" i="37"/>
  <c r="E3" i="37"/>
  <c r="M3" i="37"/>
  <c r="R33" i="37"/>
  <c r="T5" i="37"/>
  <c r="T18" i="37" s="1"/>
  <c r="T33" i="37" s="1"/>
  <c r="Q18" i="37"/>
  <c r="Q33" i="37" s="1"/>
  <c r="G3" i="37"/>
  <c r="R33" i="36"/>
  <c r="T31" i="36"/>
  <c r="I3" i="36"/>
  <c r="Q31" i="36"/>
  <c r="R31" i="36"/>
  <c r="K3" i="36"/>
  <c r="E3" i="36"/>
  <c r="M3" i="36"/>
  <c r="T6" i="36"/>
  <c r="T18" i="36" s="1"/>
  <c r="T33" i="36" s="1"/>
  <c r="Q18" i="36"/>
  <c r="Q33" i="36" s="1"/>
  <c r="Q36" i="36" s="1"/>
  <c r="G3" i="36"/>
  <c r="T31" i="35"/>
  <c r="J3" i="35"/>
  <c r="Q31" i="35"/>
  <c r="R31" i="35"/>
  <c r="L3" i="35"/>
  <c r="F3" i="35"/>
  <c r="N3" i="35"/>
  <c r="R33" i="35"/>
  <c r="T5" i="35"/>
  <c r="T18" i="35" s="1"/>
  <c r="T33" i="35" s="1"/>
  <c r="Q18" i="35"/>
  <c r="Q33" i="35" s="1"/>
  <c r="H3" i="35"/>
  <c r="Q31" i="34"/>
  <c r="R31" i="34"/>
  <c r="R33" i="34"/>
  <c r="T5" i="34"/>
  <c r="T18" i="34" s="1"/>
  <c r="T33" i="34" s="1"/>
  <c r="Q18" i="34"/>
  <c r="Q33" i="34" s="1"/>
  <c r="T31" i="33"/>
  <c r="Q31" i="33"/>
  <c r="R31" i="33"/>
  <c r="K3" i="33"/>
  <c r="E3" i="33"/>
  <c r="M3" i="33"/>
  <c r="T5" i="33"/>
  <c r="T18" i="33" s="1"/>
  <c r="T33" i="33" s="1"/>
  <c r="Q18" i="33"/>
  <c r="Q33" i="33" s="1"/>
  <c r="Q36" i="33" s="1"/>
  <c r="G3" i="33"/>
  <c r="T31" i="32"/>
  <c r="Q31" i="32"/>
  <c r="R31" i="32"/>
  <c r="K3" i="32"/>
  <c r="E3" i="32"/>
  <c r="M3" i="32"/>
  <c r="R33" i="32"/>
  <c r="T5" i="32"/>
  <c r="T18" i="32" s="1"/>
  <c r="T33" i="32" s="1"/>
  <c r="Q18" i="32"/>
  <c r="Q33" i="32" s="1"/>
  <c r="G3" i="32"/>
  <c r="R33" i="31"/>
  <c r="T31" i="31"/>
  <c r="I3" i="31"/>
  <c r="Q31" i="31"/>
  <c r="R31" i="31"/>
  <c r="K3" i="31"/>
  <c r="E3" i="31"/>
  <c r="M3" i="31"/>
  <c r="T6" i="31"/>
  <c r="T18" i="31" s="1"/>
  <c r="T33" i="31" s="1"/>
  <c r="Q18" i="31"/>
  <c r="Q33" i="31" s="1"/>
  <c r="G3" i="31"/>
  <c r="R33" i="30"/>
  <c r="T31" i="30"/>
  <c r="I3" i="30"/>
  <c r="Q31" i="30"/>
  <c r="R31" i="30"/>
  <c r="K3" i="30"/>
  <c r="E3" i="30"/>
  <c r="M3" i="30"/>
  <c r="T6" i="30"/>
  <c r="T18" i="30" s="1"/>
  <c r="T33" i="30" s="1"/>
  <c r="Q18" i="30"/>
  <c r="Q33" i="30" s="1"/>
  <c r="G3" i="30"/>
  <c r="T10" i="29"/>
  <c r="R31" i="29"/>
  <c r="K3" i="29"/>
  <c r="Q31" i="29"/>
  <c r="Q33" i="29"/>
  <c r="E3" i="29"/>
  <c r="M3" i="29"/>
  <c r="R33" i="29"/>
  <c r="T5" i="29"/>
  <c r="Q18" i="29"/>
  <c r="G3" i="29"/>
  <c r="I3" i="28"/>
  <c r="Q31" i="28"/>
  <c r="R31" i="28"/>
  <c r="K3" i="28"/>
  <c r="Q33" i="28"/>
  <c r="E3" i="28"/>
  <c r="R33" i="28"/>
  <c r="T5" i="28"/>
  <c r="T18" i="28" s="1"/>
  <c r="T33" i="28" s="1"/>
  <c r="T31" i="27"/>
  <c r="Q31" i="27"/>
  <c r="R31" i="27"/>
  <c r="K3" i="27"/>
  <c r="E3" i="27"/>
  <c r="M3" i="27"/>
  <c r="T5" i="27"/>
  <c r="T18" i="27" s="1"/>
  <c r="T33" i="27" s="1"/>
  <c r="Q18" i="27"/>
  <c r="Q33" i="27" s="1"/>
  <c r="G3" i="27"/>
  <c r="T31" i="26"/>
  <c r="Q31" i="26"/>
  <c r="R31" i="26"/>
  <c r="K3" i="26"/>
  <c r="E3" i="26"/>
  <c r="M3" i="26"/>
  <c r="R33" i="26"/>
  <c r="T5" i="26"/>
  <c r="T18" i="26" s="1"/>
  <c r="T33" i="26" s="1"/>
  <c r="Q18" i="26"/>
  <c r="Q33" i="26" s="1"/>
  <c r="G3" i="26"/>
  <c r="Q31" i="25"/>
  <c r="T10" i="25"/>
  <c r="R31" i="25"/>
  <c r="K3" i="25"/>
  <c r="E3" i="25"/>
  <c r="M3" i="25"/>
  <c r="T5" i="25"/>
  <c r="Q18" i="25"/>
  <c r="Q33" i="25" s="1"/>
  <c r="G3" i="25"/>
  <c r="I3" i="24"/>
  <c r="Q31" i="24"/>
  <c r="R31" i="24"/>
  <c r="K3" i="24"/>
  <c r="E3" i="24"/>
  <c r="M3" i="24"/>
  <c r="R33" i="24"/>
  <c r="T5" i="24"/>
  <c r="T18" i="24" s="1"/>
  <c r="T33" i="24" s="1"/>
  <c r="Q18" i="24"/>
  <c r="Q33" i="24" s="1"/>
  <c r="G3" i="24"/>
  <c r="I3" i="23"/>
  <c r="Q31" i="23"/>
  <c r="R31" i="23"/>
  <c r="K3" i="23"/>
  <c r="Q33" i="23"/>
  <c r="R33" i="23"/>
  <c r="T5" i="23"/>
  <c r="T18" i="23" s="1"/>
  <c r="T33" i="23" s="1"/>
  <c r="Q18" i="23"/>
  <c r="G3" i="23"/>
  <c r="T31" i="22"/>
  <c r="I3" i="22"/>
  <c r="Q31" i="22"/>
  <c r="K3" i="22"/>
  <c r="R31" i="22"/>
  <c r="U9" i="22"/>
  <c r="U26" i="22"/>
  <c r="E3" i="22"/>
  <c r="M3" i="22"/>
  <c r="T5" i="22"/>
  <c r="T18" i="22" s="1"/>
  <c r="T33" i="22" s="1"/>
  <c r="Q18" i="22"/>
  <c r="Q33" i="22" s="1"/>
  <c r="G3" i="22"/>
  <c r="Q31" i="21"/>
  <c r="R31" i="21"/>
  <c r="K3" i="21"/>
  <c r="D3" i="21"/>
  <c r="E3" i="21"/>
  <c r="M3" i="21"/>
  <c r="T5" i="21"/>
  <c r="T18" i="21" s="1"/>
  <c r="T33" i="21" s="1"/>
  <c r="Q18" i="21"/>
  <c r="Q33" i="21" s="1"/>
  <c r="G3" i="21"/>
  <c r="T31" i="20"/>
  <c r="I3" i="20"/>
  <c r="Q31" i="20"/>
  <c r="R31" i="20"/>
  <c r="K3" i="20"/>
  <c r="T5" i="20"/>
  <c r="T18" i="20" s="1"/>
  <c r="T33" i="20" s="1"/>
  <c r="Q18" i="20"/>
  <c r="Q33" i="20" s="1"/>
  <c r="Q36" i="20" s="1"/>
  <c r="G3" i="20"/>
  <c r="T10" i="19"/>
  <c r="T18" i="19" s="1"/>
  <c r="T27" i="19"/>
  <c r="T31" i="19" s="1"/>
  <c r="R31" i="19"/>
  <c r="K3" i="19"/>
  <c r="Q31" i="19"/>
  <c r="D3" i="19"/>
  <c r="E3" i="19"/>
  <c r="M3" i="19"/>
  <c r="R33" i="19"/>
  <c r="Q18" i="19"/>
  <c r="Q33" i="19" s="1"/>
  <c r="G3" i="19"/>
  <c r="T31" i="18"/>
  <c r="I3" i="18"/>
  <c r="Q31" i="18"/>
  <c r="R31" i="18"/>
  <c r="K3" i="18"/>
  <c r="D3" i="18"/>
  <c r="E3" i="18"/>
  <c r="M3" i="18"/>
  <c r="R33" i="18"/>
  <c r="T5" i="18"/>
  <c r="T18" i="18" s="1"/>
  <c r="T33" i="18" s="1"/>
  <c r="Q18" i="18"/>
  <c r="Q33" i="18" s="1"/>
  <c r="G3" i="18"/>
  <c r="T31" i="17"/>
  <c r="I3" i="17"/>
  <c r="Q31" i="17"/>
  <c r="R31" i="17"/>
  <c r="K3" i="17"/>
  <c r="D3" i="17"/>
  <c r="E3" i="17"/>
  <c r="M3" i="17"/>
  <c r="R33" i="17"/>
  <c r="T5" i="17"/>
  <c r="T18" i="17" s="1"/>
  <c r="T33" i="17" s="1"/>
  <c r="Q18" i="17"/>
  <c r="Q33" i="17" s="1"/>
  <c r="G3" i="17"/>
  <c r="T31" i="16"/>
  <c r="I3" i="16"/>
  <c r="Q31" i="16"/>
  <c r="R31" i="16"/>
  <c r="K3" i="16"/>
  <c r="D3" i="16"/>
  <c r="E3" i="16"/>
  <c r="M3" i="16"/>
  <c r="R33" i="16"/>
  <c r="T5" i="16"/>
  <c r="T18" i="16" s="1"/>
  <c r="T33" i="16" s="1"/>
  <c r="Q18" i="16"/>
  <c r="Q33" i="16" s="1"/>
  <c r="G3" i="16"/>
  <c r="I3" i="15"/>
  <c r="Q31" i="15"/>
  <c r="R31" i="15"/>
  <c r="K3" i="15"/>
  <c r="D3" i="15"/>
  <c r="E3" i="15"/>
  <c r="M3" i="15"/>
  <c r="T5" i="15"/>
  <c r="T18" i="15" s="1"/>
  <c r="T33" i="15" s="1"/>
  <c r="Q18" i="15"/>
  <c r="Q33" i="15" s="1"/>
  <c r="G3" i="15"/>
  <c r="T10" i="14"/>
  <c r="T27" i="14"/>
  <c r="T31" i="14" s="1"/>
  <c r="R31" i="14"/>
  <c r="K3" i="14"/>
  <c r="Q31" i="14"/>
  <c r="D3" i="14"/>
  <c r="E3" i="14"/>
  <c r="M3" i="14"/>
  <c r="R33" i="14"/>
  <c r="T5" i="14"/>
  <c r="Q18" i="14"/>
  <c r="Q33" i="14" s="1"/>
  <c r="G3" i="14"/>
  <c r="T31" i="13"/>
  <c r="I3" i="13"/>
  <c r="Q31" i="13"/>
  <c r="R31" i="13"/>
  <c r="K3" i="13"/>
  <c r="D3" i="13"/>
  <c r="E3" i="13"/>
  <c r="M3" i="13"/>
  <c r="R33" i="13"/>
  <c r="T5" i="13"/>
  <c r="T18" i="13" s="1"/>
  <c r="T33" i="13" s="1"/>
  <c r="Q18" i="13"/>
  <c r="Q33" i="13" s="1"/>
  <c r="G3" i="13"/>
  <c r="T31" i="12"/>
  <c r="I3" i="12"/>
  <c r="Q31" i="12"/>
  <c r="R31" i="12"/>
  <c r="K3" i="12"/>
  <c r="T5" i="12"/>
  <c r="T18" i="12" s="1"/>
  <c r="T33" i="12" s="1"/>
  <c r="Q18" i="12"/>
  <c r="Q33" i="12" s="1"/>
  <c r="Q36" i="12" s="1"/>
  <c r="G3" i="12"/>
  <c r="T31" i="11"/>
  <c r="I3" i="11"/>
  <c r="Q31" i="11"/>
  <c r="K3" i="11"/>
  <c r="R31" i="11"/>
  <c r="D3" i="11"/>
  <c r="U26" i="11"/>
  <c r="E3" i="11"/>
  <c r="M3" i="11"/>
  <c r="T5" i="11"/>
  <c r="T18" i="11" s="1"/>
  <c r="T33" i="11" s="1"/>
  <c r="Q18" i="11"/>
  <c r="Q33" i="11" s="1"/>
  <c r="Q36" i="11" s="1"/>
  <c r="G3" i="11"/>
  <c r="Q31" i="10"/>
  <c r="K3" i="10"/>
  <c r="D3" i="10"/>
  <c r="U9" i="10"/>
  <c r="T24" i="10"/>
  <c r="T31" i="10" s="1"/>
  <c r="U26" i="10"/>
  <c r="E3" i="10"/>
  <c r="M3" i="10"/>
  <c r="T5" i="10"/>
  <c r="T18" i="10" s="1"/>
  <c r="Q18" i="10"/>
  <c r="Q33" i="10" s="1"/>
  <c r="Q36" i="10" s="1"/>
  <c r="G3" i="10"/>
  <c r="I3" i="9"/>
  <c r="Q31" i="9"/>
  <c r="K3" i="9"/>
  <c r="D3" i="9"/>
  <c r="U9" i="9"/>
  <c r="T24" i="9"/>
  <c r="T31" i="9" s="1"/>
  <c r="U26" i="9"/>
  <c r="E3" i="9"/>
  <c r="M3" i="9"/>
  <c r="T5" i="9"/>
  <c r="T18" i="9" s="1"/>
  <c r="Q18" i="9"/>
  <c r="Q33" i="9" s="1"/>
  <c r="Q36" i="9" s="1"/>
  <c r="G3" i="9"/>
  <c r="R18" i="8"/>
  <c r="R33" i="8" s="1"/>
  <c r="R36" i="8" s="1"/>
  <c r="I3" i="8"/>
  <c r="T11" i="8"/>
  <c r="T18" i="8" s="1"/>
  <c r="T28" i="8"/>
  <c r="T31" i="8" s="1"/>
  <c r="Q31" i="8"/>
  <c r="R31" i="8"/>
  <c r="D3" i="8"/>
  <c r="K3" i="8"/>
  <c r="E3" i="8"/>
  <c r="T31" i="7"/>
  <c r="Q31" i="7"/>
  <c r="R31" i="7"/>
  <c r="K3" i="7"/>
  <c r="D3" i="7"/>
  <c r="E3" i="7"/>
  <c r="M3" i="7"/>
  <c r="T5" i="7"/>
  <c r="T18" i="7" s="1"/>
  <c r="T33" i="7" s="1"/>
  <c r="Q18" i="7"/>
  <c r="Q33" i="7" s="1"/>
  <c r="Q36" i="7" s="1"/>
  <c r="G3" i="7"/>
  <c r="I3" i="6"/>
  <c r="Q31" i="6"/>
  <c r="R31" i="6"/>
  <c r="K3" i="6"/>
  <c r="D3" i="6"/>
  <c r="E3" i="6"/>
  <c r="M3" i="6"/>
  <c r="T5" i="6"/>
  <c r="T18" i="6" s="1"/>
  <c r="T33" i="6" s="1"/>
  <c r="Q18" i="6"/>
  <c r="Q33" i="6" s="1"/>
  <c r="Q36" i="6" s="1"/>
  <c r="G3" i="6"/>
  <c r="K3" i="4"/>
  <c r="D3" i="4"/>
  <c r="T24" i="4"/>
  <c r="T31" i="4" s="1"/>
  <c r="Q31" i="4"/>
  <c r="E3" i="4"/>
  <c r="M3" i="4"/>
  <c r="T5" i="4"/>
  <c r="Q18" i="4"/>
  <c r="Q33" i="4" s="1"/>
  <c r="Q36" i="4" s="1"/>
  <c r="G3" i="4"/>
  <c r="L18" i="1"/>
  <c r="K18" i="1"/>
  <c r="J18" i="1"/>
  <c r="I18" i="1"/>
  <c r="H18" i="1"/>
  <c r="G18" i="1"/>
  <c r="F18" i="1"/>
  <c r="E18" i="1"/>
  <c r="D18" i="1"/>
  <c r="B30" i="1"/>
  <c r="S30" i="1" s="1"/>
  <c r="B30" i="3" s="1"/>
  <c r="S30" i="3" s="1"/>
  <c r="B30" i="4" s="1"/>
  <c r="B28" i="1"/>
  <c r="S28" i="1" s="1"/>
  <c r="B28" i="3" s="1"/>
  <c r="S28" i="3" s="1"/>
  <c r="B28" i="4" s="1"/>
  <c r="B27" i="1"/>
  <c r="S27" i="1" s="1"/>
  <c r="B27" i="3" s="1"/>
  <c r="S27" i="3" s="1"/>
  <c r="B27" i="4" s="1"/>
  <c r="S27" i="4" s="1"/>
  <c r="B27" i="6" s="1"/>
  <c r="S27" i="6" s="1"/>
  <c r="B27" i="7" s="1"/>
  <c r="S27" i="7" s="1"/>
  <c r="B27" i="8" s="1"/>
  <c r="S27" i="8" s="1"/>
  <c r="B27" i="9" s="1"/>
  <c r="S27" i="9" s="1"/>
  <c r="B27" i="10" s="1"/>
  <c r="S27" i="10" s="1"/>
  <c r="B27" i="11" s="1"/>
  <c r="S27" i="11" s="1"/>
  <c r="B27" i="12" s="1"/>
  <c r="S27" i="12" s="1"/>
  <c r="B27" i="13" s="1"/>
  <c r="S27" i="13" s="1"/>
  <c r="B27" i="14" s="1"/>
  <c r="S27" i="14" s="1"/>
  <c r="B27" i="15" s="1"/>
  <c r="S27" i="15" s="1"/>
  <c r="B27" i="16" s="1"/>
  <c r="S27" i="16" s="1"/>
  <c r="B27" i="17" s="1"/>
  <c r="S27" i="17" s="1"/>
  <c r="B27" i="18" s="1"/>
  <c r="S27" i="18" s="1"/>
  <c r="B27" i="19" s="1"/>
  <c r="S27" i="19" s="1"/>
  <c r="B27" i="20" s="1"/>
  <c r="S27" i="20" s="1"/>
  <c r="B27" i="21" s="1"/>
  <c r="S27" i="21" s="1"/>
  <c r="B27" i="22" s="1"/>
  <c r="S27" i="22" s="1"/>
  <c r="B27" i="23" s="1"/>
  <c r="S27" i="23" s="1"/>
  <c r="B27" i="24" s="1"/>
  <c r="S27" i="24" s="1"/>
  <c r="B27" i="25" s="1"/>
  <c r="S27" i="25" s="1"/>
  <c r="B27" i="26" s="1"/>
  <c r="S27" i="26" s="1"/>
  <c r="B27" i="27" s="1"/>
  <c r="S27" i="27" s="1"/>
  <c r="B27" i="28" s="1"/>
  <c r="S27" i="28" s="1"/>
  <c r="B27" i="29" s="1"/>
  <c r="S27" i="29" s="1"/>
  <c r="B27" i="30" s="1"/>
  <c r="S27" i="30" s="1"/>
  <c r="B27" i="31" s="1"/>
  <c r="S27" i="31" s="1"/>
  <c r="B27" i="32" s="1"/>
  <c r="S27" i="32" s="1"/>
  <c r="B27" i="33" s="1"/>
  <c r="S27" i="33" s="1"/>
  <c r="B27" i="34" s="1"/>
  <c r="S27" i="34" s="1"/>
  <c r="B27" i="35" s="1"/>
  <c r="S27" i="35" s="1"/>
  <c r="B27" i="36" s="1"/>
  <c r="S27" i="36" s="1"/>
  <c r="B27" i="37" s="1"/>
  <c r="S27" i="37" s="1"/>
  <c r="B27" i="38" s="1"/>
  <c r="S27" i="38" s="1"/>
  <c r="B27" i="39" s="1"/>
  <c r="S27" i="39" s="1"/>
  <c r="B27" i="40" s="1"/>
  <c r="S27" i="40" s="1"/>
  <c r="B27" i="41" s="1"/>
  <c r="S27" i="41" s="1"/>
  <c r="B27" i="42" s="1"/>
  <c r="S27" i="42" s="1"/>
  <c r="B27" i="43" s="1"/>
  <c r="S27" i="43" s="1"/>
  <c r="B27" i="44" s="1"/>
  <c r="S27" i="44" s="1"/>
  <c r="B27" i="45" s="1"/>
  <c r="S27" i="45" s="1"/>
  <c r="B27" i="46" s="1"/>
  <c r="S27" i="46" s="1"/>
  <c r="B27" i="47" s="1"/>
  <c r="S27" i="47" s="1"/>
  <c r="B27" i="48" s="1"/>
  <c r="S27" i="48" s="1"/>
  <c r="B27" i="49" s="1"/>
  <c r="S27" i="49" s="1"/>
  <c r="B27" i="50" s="1"/>
  <c r="S27" i="50" s="1"/>
  <c r="B27" i="51" s="1"/>
  <c r="S27" i="51" s="1"/>
  <c r="B27" i="52" s="1"/>
  <c r="S27" i="52" s="1"/>
  <c r="B27" i="53" s="1"/>
  <c r="S27" i="53" s="1"/>
  <c r="B27" i="54" s="1"/>
  <c r="S27" i="54" s="1"/>
  <c r="B27" i="55" s="1"/>
  <c r="S27" i="55" s="1"/>
  <c r="B27" i="56" s="1"/>
  <c r="S27" i="56" s="1"/>
  <c r="B27" i="57" s="1"/>
  <c r="S27" i="57" s="1"/>
  <c r="B26" i="1"/>
  <c r="S26" i="1" s="1"/>
  <c r="B26" i="3" s="1"/>
  <c r="S26" i="3" s="1"/>
  <c r="B26" i="4" s="1"/>
  <c r="B24" i="1"/>
  <c r="B23" i="1"/>
  <c r="B22" i="1"/>
  <c r="B20" i="1"/>
  <c r="B17" i="1"/>
  <c r="B15" i="1"/>
  <c r="B14" i="1"/>
  <c r="B12" i="1"/>
  <c r="S12" i="1" s="1"/>
  <c r="B12" i="3" s="1"/>
  <c r="S12" i="3" s="1"/>
  <c r="B12" i="4" s="1"/>
  <c r="B11" i="1"/>
  <c r="S11" i="1" s="1"/>
  <c r="B11" i="3" s="1"/>
  <c r="S11" i="3" s="1"/>
  <c r="B11" i="4" s="1"/>
  <c r="B10" i="1"/>
  <c r="S10" i="1" s="1"/>
  <c r="B10" i="3" s="1"/>
  <c r="S10" i="3" s="1"/>
  <c r="B10" i="4" s="1"/>
  <c r="B9" i="1"/>
  <c r="B7" i="1"/>
  <c r="B6" i="1"/>
  <c r="B5" i="1"/>
  <c r="A30" i="1"/>
  <c r="A28" i="1"/>
  <c r="A27" i="1"/>
  <c r="A26" i="1"/>
  <c r="A24" i="1"/>
  <c r="A23" i="1"/>
  <c r="A22" i="1"/>
  <c r="A20" i="1"/>
  <c r="A17" i="1"/>
  <c r="A15" i="1"/>
  <c r="A14" i="1"/>
  <c r="A12" i="1"/>
  <c r="A11" i="1"/>
  <c r="A10" i="1"/>
  <c r="A9" i="1"/>
  <c r="A7" i="1"/>
  <c r="A6" i="1"/>
  <c r="A5" i="1"/>
  <c r="F3" i="25" l="1"/>
  <c r="E2" i="25"/>
  <c r="E1" i="25" s="1"/>
  <c r="H3" i="29"/>
  <c r="G2" i="29"/>
  <c r="G1" i="29" s="1"/>
  <c r="L3" i="33"/>
  <c r="K2" i="33"/>
  <c r="K1" i="33" s="1"/>
  <c r="L3" i="42"/>
  <c r="K2" i="42"/>
  <c r="K1" i="42" s="1"/>
  <c r="H3" i="56"/>
  <c r="G2" i="56"/>
  <c r="G1" i="56" s="1"/>
  <c r="L3" i="50"/>
  <c r="K2" i="50"/>
  <c r="K1" i="50" s="1"/>
  <c r="N3" i="55"/>
  <c r="M2" i="55"/>
  <c r="M1" i="55" s="1"/>
  <c r="J3" i="20"/>
  <c r="I2" i="20"/>
  <c r="I1" i="20" s="1"/>
  <c r="H3" i="24"/>
  <c r="G2" i="24"/>
  <c r="G1" i="24" s="1"/>
  <c r="F3" i="26"/>
  <c r="E2" i="26"/>
  <c r="E1" i="26" s="1"/>
  <c r="N3" i="27"/>
  <c r="M2" i="27"/>
  <c r="M1" i="27" s="1"/>
  <c r="F3" i="28"/>
  <c r="E2" i="28"/>
  <c r="E1" i="28" s="1"/>
  <c r="F3" i="31"/>
  <c r="E2" i="31"/>
  <c r="E1" i="31" s="1"/>
  <c r="J3" i="38"/>
  <c r="I2" i="38"/>
  <c r="I1" i="38" s="1"/>
  <c r="L3" i="40"/>
  <c r="K2" i="40"/>
  <c r="K1" i="40" s="1"/>
  <c r="H3" i="42"/>
  <c r="G2" i="42"/>
  <c r="G1" i="42" s="1"/>
  <c r="F3" i="43"/>
  <c r="E2" i="43"/>
  <c r="E1" i="43" s="1"/>
  <c r="N3" i="44"/>
  <c r="M2" i="44"/>
  <c r="M1" i="44" s="1"/>
  <c r="L3" i="45"/>
  <c r="K2" i="45"/>
  <c r="K1" i="45" s="1"/>
  <c r="N3" i="46"/>
  <c r="M2" i="46"/>
  <c r="M1" i="46" s="1"/>
  <c r="H3" i="48"/>
  <c r="G2" i="48"/>
  <c r="G1" i="48" s="1"/>
  <c r="H3" i="49"/>
  <c r="G2" i="49"/>
  <c r="G1" i="49" s="1"/>
  <c r="N3" i="51"/>
  <c r="M2" i="51"/>
  <c r="M1" i="51" s="1"/>
  <c r="F3" i="55"/>
  <c r="E2" i="55"/>
  <c r="E1" i="55" s="1"/>
  <c r="L3" i="57"/>
  <c r="K2" i="57"/>
  <c r="K1" i="57" s="1"/>
  <c r="L3" i="25"/>
  <c r="K2" i="25"/>
  <c r="K1" i="25" s="1"/>
  <c r="H3" i="32"/>
  <c r="G2" i="32"/>
  <c r="G1" i="32" s="1"/>
  <c r="F3" i="40"/>
  <c r="E2" i="40"/>
  <c r="E1" i="40" s="1"/>
  <c r="J3" i="24"/>
  <c r="I2" i="24"/>
  <c r="I1" i="24" s="1"/>
  <c r="L3" i="26"/>
  <c r="K2" i="26"/>
  <c r="K1" i="26" s="1"/>
  <c r="F3" i="27"/>
  <c r="E2" i="27"/>
  <c r="E1" i="27" s="1"/>
  <c r="H3" i="30"/>
  <c r="G2" i="30"/>
  <c r="G1" i="30" s="1"/>
  <c r="J3" i="30"/>
  <c r="I2" i="30"/>
  <c r="I1" i="30" s="1"/>
  <c r="L3" i="31"/>
  <c r="K2" i="31"/>
  <c r="K1" i="31" s="1"/>
  <c r="H3" i="33"/>
  <c r="G2" i="33"/>
  <c r="G1" i="33" s="1"/>
  <c r="J3" i="42"/>
  <c r="I2" i="42"/>
  <c r="I1" i="42" s="1"/>
  <c r="L3" i="43"/>
  <c r="K2" i="43"/>
  <c r="K1" i="43" s="1"/>
  <c r="F3" i="44"/>
  <c r="E2" i="44"/>
  <c r="E1" i="44" s="1"/>
  <c r="H3" i="45"/>
  <c r="G2" i="45"/>
  <c r="G1" i="45" s="1"/>
  <c r="F3" i="46"/>
  <c r="E2" i="46"/>
  <c r="E1" i="46" s="1"/>
  <c r="H3" i="50"/>
  <c r="G2" i="50"/>
  <c r="G1" i="50" s="1"/>
  <c r="F3" i="51"/>
  <c r="E2" i="51"/>
  <c r="E1" i="51" s="1"/>
  <c r="J3" i="54"/>
  <c r="I2" i="54"/>
  <c r="I1" i="54" s="1"/>
  <c r="L3" i="55"/>
  <c r="K2" i="55"/>
  <c r="K1" i="55" s="1"/>
  <c r="F3" i="50"/>
  <c r="E2" i="50"/>
  <c r="E1" i="50" s="1"/>
  <c r="H3" i="38"/>
  <c r="G2" i="38"/>
  <c r="G1" i="38" s="1"/>
  <c r="F3" i="57"/>
  <c r="E2" i="57"/>
  <c r="E1" i="57" s="1"/>
  <c r="L3" i="28"/>
  <c r="K2" i="28"/>
  <c r="K1" i="28" s="1"/>
  <c r="H3" i="36"/>
  <c r="G2" i="36"/>
  <c r="G1" i="36" s="1"/>
  <c r="N3" i="41"/>
  <c r="M2" i="41"/>
  <c r="M1" i="41" s="1"/>
  <c r="L3" i="46"/>
  <c r="K2" i="46"/>
  <c r="K1" i="46" s="1"/>
  <c r="J3" i="50"/>
  <c r="I2" i="50"/>
  <c r="I1" i="50" s="1"/>
  <c r="H3" i="57"/>
  <c r="G2" i="57"/>
  <c r="G1" i="57" s="1"/>
  <c r="N3" i="22"/>
  <c r="M2" i="22"/>
  <c r="M1" i="22" s="1"/>
  <c r="F3" i="36"/>
  <c r="E2" i="36"/>
  <c r="E1" i="36" s="1"/>
  <c r="H3" i="23"/>
  <c r="G2" i="23"/>
  <c r="G1" i="23" s="1"/>
  <c r="N3" i="31"/>
  <c r="M2" i="31"/>
  <c r="M1" i="31" s="1"/>
  <c r="J3" i="41"/>
  <c r="I2" i="41"/>
  <c r="I1" i="41" s="1"/>
  <c r="H3" i="25"/>
  <c r="G2" i="25"/>
  <c r="G1" i="25" s="1"/>
  <c r="J3" i="36"/>
  <c r="I2" i="36"/>
  <c r="I1" i="36" s="1"/>
  <c r="L3" i="51"/>
  <c r="K2" i="51"/>
  <c r="K1" i="51" s="1"/>
  <c r="F3" i="19"/>
  <c r="E2" i="19"/>
  <c r="E1" i="19" s="1"/>
  <c r="H3" i="22"/>
  <c r="G2" i="22"/>
  <c r="G1" i="22" s="1"/>
  <c r="L3" i="22"/>
  <c r="K2" i="22"/>
  <c r="K1" i="22" s="1"/>
  <c r="H3" i="26"/>
  <c r="G2" i="26"/>
  <c r="G1" i="26" s="1"/>
  <c r="F3" i="29"/>
  <c r="E2" i="29"/>
  <c r="E1" i="29" s="1"/>
  <c r="N3" i="32"/>
  <c r="M2" i="32"/>
  <c r="M1" i="32" s="1"/>
  <c r="N3" i="38"/>
  <c r="M2" i="38"/>
  <c r="M1" i="38" s="1"/>
  <c r="H3" i="40"/>
  <c r="G2" i="40"/>
  <c r="G1" i="40" s="1"/>
  <c r="J3" i="40"/>
  <c r="I2" i="40"/>
  <c r="I1" i="40" s="1"/>
  <c r="F3" i="41"/>
  <c r="E2" i="41"/>
  <c r="E1" i="41" s="1"/>
  <c r="H3" i="43"/>
  <c r="G2" i="43"/>
  <c r="G1" i="43" s="1"/>
  <c r="J3" i="43"/>
  <c r="I2" i="43"/>
  <c r="I1" i="43" s="1"/>
  <c r="L3" i="48"/>
  <c r="K2" i="48"/>
  <c r="K1" i="48" s="1"/>
  <c r="H3" i="54"/>
  <c r="G2" i="54"/>
  <c r="G1" i="54" s="1"/>
  <c r="H3" i="55"/>
  <c r="G2" i="55"/>
  <c r="G1" i="55" s="1"/>
  <c r="N3" i="56"/>
  <c r="M2" i="56"/>
  <c r="M1" i="56" s="1"/>
  <c r="L3" i="19"/>
  <c r="K2" i="19"/>
  <c r="K1" i="19" s="1"/>
  <c r="L3" i="24"/>
  <c r="K2" i="24"/>
  <c r="K1" i="24" s="1"/>
  <c r="L3" i="30"/>
  <c r="K2" i="30"/>
  <c r="K1" i="30" s="1"/>
  <c r="N3" i="40"/>
  <c r="M2" i="40"/>
  <c r="M1" i="40" s="1"/>
  <c r="F3" i="45"/>
  <c r="E2" i="45"/>
  <c r="E1" i="45" s="1"/>
  <c r="N3" i="57"/>
  <c r="M2" i="57"/>
  <c r="M1" i="57" s="1"/>
  <c r="J3" i="23"/>
  <c r="I2" i="23"/>
  <c r="I1" i="23" s="1"/>
  <c r="L3" i="36"/>
  <c r="K2" i="36"/>
  <c r="K1" i="36" s="1"/>
  <c r="H3" i="20"/>
  <c r="G2" i="20"/>
  <c r="G1" i="20" s="1"/>
  <c r="N3" i="29"/>
  <c r="M2" i="29"/>
  <c r="M1" i="29" s="1"/>
  <c r="L3" i="44"/>
  <c r="K2" i="44"/>
  <c r="K1" i="44" s="1"/>
  <c r="L3" i="23"/>
  <c r="K2" i="23"/>
  <c r="K1" i="23" s="1"/>
  <c r="N3" i="24"/>
  <c r="M2" i="24"/>
  <c r="M1" i="24" s="1"/>
  <c r="N3" i="30"/>
  <c r="M2" i="30"/>
  <c r="M1" i="30" s="1"/>
  <c r="H3" i="31"/>
  <c r="G2" i="31"/>
  <c r="G1" i="31" s="1"/>
  <c r="J3" i="31"/>
  <c r="I2" i="31"/>
  <c r="I1" i="31" s="1"/>
  <c r="F3" i="32"/>
  <c r="E2" i="32"/>
  <c r="E1" i="32" s="1"/>
  <c r="N3" i="33"/>
  <c r="M2" i="33"/>
  <c r="M1" i="33" s="1"/>
  <c r="F3" i="38"/>
  <c r="E2" i="38"/>
  <c r="E1" i="38" s="1"/>
  <c r="L3" i="41"/>
  <c r="K2" i="41"/>
  <c r="K1" i="41" s="1"/>
  <c r="N3" i="42"/>
  <c r="M2" i="42"/>
  <c r="M1" i="42" s="1"/>
  <c r="H3" i="46"/>
  <c r="G2" i="46"/>
  <c r="G1" i="46" s="1"/>
  <c r="L3" i="49"/>
  <c r="K2" i="49"/>
  <c r="K1" i="49" s="1"/>
  <c r="H3" i="51"/>
  <c r="G2" i="51"/>
  <c r="G1" i="51" s="1"/>
  <c r="J3" i="55"/>
  <c r="I2" i="55"/>
  <c r="I1" i="55" s="1"/>
  <c r="F3" i="56"/>
  <c r="E2" i="56"/>
  <c r="E1" i="56" s="1"/>
  <c r="L3" i="29"/>
  <c r="K2" i="29"/>
  <c r="K1" i="29" s="1"/>
  <c r="H3" i="41"/>
  <c r="G2" i="41"/>
  <c r="G1" i="41" s="1"/>
  <c r="L3" i="54"/>
  <c r="K2" i="54"/>
  <c r="K1" i="54" s="1"/>
  <c r="H3" i="19"/>
  <c r="G2" i="19"/>
  <c r="G1" i="19" s="1"/>
  <c r="F3" i="22"/>
  <c r="E2" i="22"/>
  <c r="E1" i="22" s="1"/>
  <c r="N3" i="26"/>
  <c r="M2" i="26"/>
  <c r="M1" i="26" s="1"/>
  <c r="N3" i="43"/>
  <c r="M2" i="43"/>
  <c r="M1" i="43" s="1"/>
  <c r="J3" i="49"/>
  <c r="I2" i="49"/>
  <c r="I1" i="49" s="1"/>
  <c r="N3" i="19"/>
  <c r="M2" i="19"/>
  <c r="M1" i="19" s="1"/>
  <c r="L3" i="27"/>
  <c r="K2" i="27"/>
  <c r="K1" i="27" s="1"/>
  <c r="L3" i="20"/>
  <c r="K2" i="20"/>
  <c r="K1" i="20" s="1"/>
  <c r="J3" i="22"/>
  <c r="I2" i="22"/>
  <c r="I1" i="22" s="1"/>
  <c r="F3" i="24"/>
  <c r="E2" i="24"/>
  <c r="E1" i="24" s="1"/>
  <c r="N3" i="25"/>
  <c r="M2" i="25"/>
  <c r="M1" i="25" s="1"/>
  <c r="H3" i="27"/>
  <c r="G2" i="27"/>
  <c r="G1" i="27" s="1"/>
  <c r="J3" i="28"/>
  <c r="I2" i="28"/>
  <c r="I1" i="28" s="1"/>
  <c r="F3" i="30"/>
  <c r="E2" i="30"/>
  <c r="E1" i="30" s="1"/>
  <c r="L3" i="32"/>
  <c r="K2" i="32"/>
  <c r="K1" i="32" s="1"/>
  <c r="F3" i="33"/>
  <c r="E2" i="33"/>
  <c r="E1" i="33" s="1"/>
  <c r="N3" i="36"/>
  <c r="M2" i="36"/>
  <c r="M1" i="36" s="1"/>
  <c r="L3" i="38"/>
  <c r="K2" i="38"/>
  <c r="K1" i="38" s="1"/>
  <c r="F3" i="42"/>
  <c r="E2" i="42"/>
  <c r="E1" i="42" s="1"/>
  <c r="H3" i="44"/>
  <c r="G2" i="44"/>
  <c r="G1" i="44" s="1"/>
  <c r="J3" i="44"/>
  <c r="I2" i="44"/>
  <c r="I1" i="44" s="1"/>
  <c r="N3" i="45"/>
  <c r="M2" i="45"/>
  <c r="M1" i="45" s="1"/>
  <c r="J3" i="46"/>
  <c r="I2" i="46"/>
  <c r="I1" i="46" s="1"/>
  <c r="N3" i="50"/>
  <c r="M2" i="50"/>
  <c r="M1" i="50" s="1"/>
  <c r="L3" i="56"/>
  <c r="K2" i="56"/>
  <c r="K1" i="56" s="1"/>
  <c r="L3" i="52"/>
  <c r="K2" i="52"/>
  <c r="K1" i="52" s="1"/>
  <c r="J3" i="52"/>
  <c r="I2" i="52"/>
  <c r="I1" i="52" s="1"/>
  <c r="N3" i="52"/>
  <c r="M2" i="52"/>
  <c r="M1" i="52" s="1"/>
  <c r="H3" i="52"/>
  <c r="G2" i="52"/>
  <c r="G1" i="52" s="1"/>
  <c r="F3" i="52"/>
  <c r="E2" i="52"/>
  <c r="E1" i="52" s="1"/>
  <c r="J3" i="47"/>
  <c r="I2" i="47"/>
  <c r="I1" i="47" s="1"/>
  <c r="N3" i="47"/>
  <c r="M2" i="47"/>
  <c r="M1" i="47" s="1"/>
  <c r="F3" i="47"/>
  <c r="E2" i="47"/>
  <c r="E1" i="47" s="1"/>
  <c r="L3" i="47"/>
  <c r="K2" i="47"/>
  <c r="K1" i="47" s="1"/>
  <c r="H3" i="47"/>
  <c r="G2" i="47"/>
  <c r="G1" i="47" s="1"/>
  <c r="F3" i="39"/>
  <c r="E2" i="39"/>
  <c r="E1" i="39" s="1"/>
  <c r="L3" i="39"/>
  <c r="K2" i="39"/>
  <c r="K1" i="39" s="1"/>
  <c r="H3" i="39"/>
  <c r="G2" i="39"/>
  <c r="G1" i="39" s="1"/>
  <c r="J3" i="39"/>
  <c r="I2" i="39"/>
  <c r="I1" i="39" s="1"/>
  <c r="N3" i="39"/>
  <c r="M2" i="39"/>
  <c r="M1" i="39" s="1"/>
  <c r="H3" i="37"/>
  <c r="G2" i="37"/>
  <c r="G1" i="37" s="1"/>
  <c r="L3" i="37"/>
  <c r="K2" i="37"/>
  <c r="K1" i="37" s="1"/>
  <c r="N3" i="37"/>
  <c r="M2" i="37"/>
  <c r="M1" i="37" s="1"/>
  <c r="F3" i="37"/>
  <c r="E2" i="37"/>
  <c r="E1" i="37" s="1"/>
  <c r="N3" i="34"/>
  <c r="M2" i="34"/>
  <c r="M1" i="34" s="1"/>
  <c r="F3" i="34"/>
  <c r="E2" i="34"/>
  <c r="E1" i="34" s="1"/>
  <c r="L3" i="34"/>
  <c r="K2" i="34"/>
  <c r="K1" i="34" s="1"/>
  <c r="H3" i="34"/>
  <c r="G2" i="34"/>
  <c r="G1" i="34" s="1"/>
  <c r="J3" i="34"/>
  <c r="I2" i="34"/>
  <c r="I1" i="34" s="1"/>
  <c r="N3" i="21"/>
  <c r="M2" i="21"/>
  <c r="M1" i="21" s="1"/>
  <c r="L3" i="21"/>
  <c r="K2" i="21"/>
  <c r="K1" i="21" s="1"/>
  <c r="H3" i="21"/>
  <c r="G2" i="21"/>
  <c r="G1" i="21" s="1"/>
  <c r="F3" i="21"/>
  <c r="E2" i="21"/>
  <c r="E1" i="21" s="1"/>
  <c r="H3" i="18"/>
  <c r="G2" i="18"/>
  <c r="G1" i="18" s="1"/>
  <c r="F3" i="8"/>
  <c r="E2" i="8"/>
  <c r="E1" i="8" s="1"/>
  <c r="N3" i="10"/>
  <c r="M2" i="10"/>
  <c r="M1" i="10" s="1"/>
  <c r="H3" i="11"/>
  <c r="G2" i="11"/>
  <c r="G1" i="11" s="1"/>
  <c r="L3" i="11"/>
  <c r="K2" i="11"/>
  <c r="K1" i="11" s="1"/>
  <c r="N3" i="13"/>
  <c r="M2" i="13"/>
  <c r="M1" i="13" s="1"/>
  <c r="H3" i="14"/>
  <c r="G2" i="14"/>
  <c r="G1" i="14" s="1"/>
  <c r="L3" i="14"/>
  <c r="K2" i="14"/>
  <c r="K1" i="14" s="1"/>
  <c r="F3" i="15"/>
  <c r="E2" i="15"/>
  <c r="E1" i="15" s="1"/>
  <c r="J3" i="16"/>
  <c r="I2" i="16"/>
  <c r="I1" i="16" s="1"/>
  <c r="J3" i="18"/>
  <c r="I2" i="18"/>
  <c r="I1" i="18" s="1"/>
  <c r="J3" i="7"/>
  <c r="I2" i="7"/>
  <c r="I1" i="7" s="1"/>
  <c r="H3" i="7"/>
  <c r="G2" i="7"/>
  <c r="G1" i="7" s="1"/>
  <c r="N3" i="7"/>
  <c r="M2" i="7"/>
  <c r="M1" i="7" s="1"/>
  <c r="L3" i="8"/>
  <c r="K2" i="8"/>
  <c r="K1" i="8" s="1"/>
  <c r="H3" i="9"/>
  <c r="G2" i="9"/>
  <c r="G1" i="9" s="1"/>
  <c r="F3" i="10"/>
  <c r="E2" i="10"/>
  <c r="E1" i="10" s="1"/>
  <c r="F3" i="13"/>
  <c r="E2" i="13"/>
  <c r="E1" i="13" s="1"/>
  <c r="M2" i="4"/>
  <c r="M1" i="4" s="1"/>
  <c r="H3" i="16"/>
  <c r="G2" i="16"/>
  <c r="G1" i="16" s="1"/>
  <c r="E2" i="4"/>
  <c r="E1" i="4" s="1"/>
  <c r="N3" i="15"/>
  <c r="M2" i="15"/>
  <c r="M1" i="15" s="1"/>
  <c r="F3" i="6"/>
  <c r="E2" i="6"/>
  <c r="E1" i="6" s="1"/>
  <c r="L3" i="6"/>
  <c r="K2" i="6"/>
  <c r="K1" i="6" s="1"/>
  <c r="F3" i="7"/>
  <c r="E2" i="7"/>
  <c r="E1" i="7" s="1"/>
  <c r="L3" i="9"/>
  <c r="K2" i="9"/>
  <c r="K1" i="9" s="1"/>
  <c r="J3" i="11"/>
  <c r="I2" i="11"/>
  <c r="I1" i="11" s="1"/>
  <c r="J3" i="12"/>
  <c r="I2" i="12"/>
  <c r="I1" i="12" s="1"/>
  <c r="L3" i="15"/>
  <c r="K2" i="15"/>
  <c r="K1" i="15" s="1"/>
  <c r="N3" i="16"/>
  <c r="M2" i="16"/>
  <c r="M1" i="16" s="1"/>
  <c r="N3" i="18"/>
  <c r="M2" i="18"/>
  <c r="M1" i="18" s="1"/>
  <c r="N3" i="6"/>
  <c r="M2" i="6"/>
  <c r="M1" i="6" s="1"/>
  <c r="L3" i="12"/>
  <c r="K2" i="12"/>
  <c r="K1" i="12" s="1"/>
  <c r="K2" i="4"/>
  <c r="K1" i="4" s="1"/>
  <c r="L3" i="13"/>
  <c r="K2" i="13"/>
  <c r="K1" i="13" s="1"/>
  <c r="F3" i="18"/>
  <c r="E2" i="18"/>
  <c r="E1" i="18" s="1"/>
  <c r="H3" i="6"/>
  <c r="G2" i="6"/>
  <c r="G1" i="6" s="1"/>
  <c r="L3" i="7"/>
  <c r="K2" i="7"/>
  <c r="K1" i="7" s="1"/>
  <c r="N3" i="9"/>
  <c r="M2" i="9"/>
  <c r="M1" i="9" s="1"/>
  <c r="J3" i="9"/>
  <c r="I2" i="9"/>
  <c r="I1" i="9" s="1"/>
  <c r="F3" i="11"/>
  <c r="E2" i="11"/>
  <c r="E1" i="11" s="1"/>
  <c r="H3" i="12"/>
  <c r="G2" i="12"/>
  <c r="G1" i="12" s="1"/>
  <c r="H3" i="13"/>
  <c r="G2" i="13"/>
  <c r="G1" i="13" s="1"/>
  <c r="N3" i="14"/>
  <c r="M2" i="14"/>
  <c r="M1" i="14" s="1"/>
  <c r="H3" i="15"/>
  <c r="G2" i="15"/>
  <c r="G1" i="15" s="1"/>
  <c r="O2" i="4"/>
  <c r="O1" i="4" s="1"/>
  <c r="L3" i="10"/>
  <c r="K2" i="10"/>
  <c r="K1" i="10" s="1"/>
  <c r="J3" i="13"/>
  <c r="I2" i="13"/>
  <c r="I1" i="13" s="1"/>
  <c r="J3" i="8"/>
  <c r="I2" i="8"/>
  <c r="I1" i="8" s="1"/>
  <c r="G2" i="4"/>
  <c r="G1" i="4" s="1"/>
  <c r="N3" i="11"/>
  <c r="M2" i="11"/>
  <c r="M1" i="11" s="1"/>
  <c r="F3" i="16"/>
  <c r="E2" i="16"/>
  <c r="E1" i="16" s="1"/>
  <c r="J3" i="6"/>
  <c r="I2" i="6"/>
  <c r="I1" i="6" s="1"/>
  <c r="F3" i="9"/>
  <c r="E2" i="9"/>
  <c r="E1" i="9" s="1"/>
  <c r="H3" i="10"/>
  <c r="G2" i="10"/>
  <c r="G1" i="10" s="1"/>
  <c r="F3" i="14"/>
  <c r="E2" i="14"/>
  <c r="E1" i="14" s="1"/>
  <c r="J3" i="15"/>
  <c r="I2" i="15"/>
  <c r="I1" i="15" s="1"/>
  <c r="L3" i="16"/>
  <c r="K2" i="16"/>
  <c r="K1" i="16" s="1"/>
  <c r="L3" i="18"/>
  <c r="K2" i="18"/>
  <c r="K1" i="18" s="1"/>
  <c r="N3" i="17"/>
  <c r="M2" i="17"/>
  <c r="M1" i="17" s="1"/>
  <c r="F3" i="17"/>
  <c r="E2" i="17"/>
  <c r="E1" i="17" s="1"/>
  <c r="L3" i="17"/>
  <c r="K2" i="17"/>
  <c r="K1" i="17" s="1"/>
  <c r="H3" i="17"/>
  <c r="G2" i="17"/>
  <c r="G1" i="17" s="1"/>
  <c r="J3" i="17"/>
  <c r="I2" i="17"/>
  <c r="I1" i="17" s="1"/>
  <c r="P3" i="4"/>
  <c r="N3" i="4"/>
  <c r="F3" i="4"/>
  <c r="H3" i="4"/>
  <c r="L3" i="4"/>
  <c r="T33" i="10"/>
  <c r="B111" i="5"/>
  <c r="C111" i="5"/>
  <c r="B33" i="1"/>
  <c r="B31" i="1"/>
  <c r="S20" i="1"/>
  <c r="K75" i="5"/>
  <c r="J75" i="5"/>
  <c r="S111" i="5"/>
  <c r="R111" i="5"/>
  <c r="S76" i="5"/>
  <c r="R76" i="5"/>
  <c r="K110" i="5"/>
  <c r="J110" i="5"/>
  <c r="T33" i="9"/>
  <c r="T33" i="8"/>
  <c r="T33" i="19"/>
  <c r="D139" i="5"/>
  <c r="D69" i="5"/>
  <c r="C80" i="5"/>
  <c r="B80" i="5"/>
  <c r="C46" i="5"/>
  <c r="B46" i="5"/>
  <c r="S45" i="5"/>
  <c r="R45" i="5"/>
  <c r="K45" i="5"/>
  <c r="J45" i="5"/>
  <c r="R6" i="5"/>
  <c r="Q7" i="5"/>
  <c r="S6" i="5"/>
  <c r="A6" i="5"/>
  <c r="C5" i="5"/>
  <c r="B5" i="5"/>
  <c r="K5" i="5"/>
  <c r="I6" i="5"/>
  <c r="J5" i="5"/>
  <c r="T18" i="4"/>
  <c r="T33" i="4" s="1"/>
  <c r="T18" i="53"/>
  <c r="T33" i="53" s="1"/>
  <c r="T18" i="29"/>
  <c r="T33" i="29" s="1"/>
  <c r="T18" i="25"/>
  <c r="T33" i="25" s="1"/>
  <c r="T18" i="14"/>
  <c r="T33" i="14" s="1"/>
  <c r="B20" i="3" l="1"/>
  <c r="K76" i="5"/>
  <c r="J76" i="5"/>
  <c r="B112" i="5"/>
  <c r="C112" i="5"/>
  <c r="R77" i="5"/>
  <c r="S77" i="5"/>
  <c r="J111" i="5"/>
  <c r="K111" i="5"/>
  <c r="R112" i="5"/>
  <c r="S112" i="5"/>
  <c r="C81" i="5"/>
  <c r="B81" i="5"/>
  <c r="S46" i="5"/>
  <c r="R46" i="5"/>
  <c r="K46" i="5"/>
  <c r="J46" i="5"/>
  <c r="C47" i="5"/>
  <c r="B47" i="5"/>
  <c r="Q8" i="5"/>
  <c r="S7" i="5"/>
  <c r="R7" i="5"/>
  <c r="A7" i="5"/>
  <c r="B6" i="5"/>
  <c r="C6" i="5"/>
  <c r="K6" i="5"/>
  <c r="I7" i="5"/>
  <c r="J6" i="5"/>
  <c r="T9" i="1"/>
  <c r="R5" i="1"/>
  <c r="Q5" i="1"/>
  <c r="W5" i="1" s="1"/>
  <c r="R113" i="5" l="1"/>
  <c r="S113" i="5"/>
  <c r="S78" i="5"/>
  <c r="R78" i="5"/>
  <c r="S20" i="3"/>
  <c r="K77" i="5"/>
  <c r="J77" i="5"/>
  <c r="J112" i="5"/>
  <c r="K112" i="5"/>
  <c r="C113" i="5"/>
  <c r="B113" i="5"/>
  <c r="B82" i="5"/>
  <c r="C82" i="5"/>
  <c r="K47" i="5"/>
  <c r="J47" i="5"/>
  <c r="C48" i="5"/>
  <c r="B48" i="5"/>
  <c r="S47" i="5"/>
  <c r="R47" i="5"/>
  <c r="Q9" i="5"/>
  <c r="R8" i="5"/>
  <c r="S8" i="5"/>
  <c r="A8" i="5"/>
  <c r="B7" i="5"/>
  <c r="C7" i="5"/>
  <c r="I8" i="5"/>
  <c r="K7" i="5"/>
  <c r="J7" i="5"/>
  <c r="D3" i="1"/>
  <c r="F3" i="1"/>
  <c r="H3" i="1"/>
  <c r="J3" i="1"/>
  <c r="P3" i="1"/>
  <c r="N3" i="1"/>
  <c r="L3" i="1"/>
  <c r="K78" i="5" l="1"/>
  <c r="J78" i="5"/>
  <c r="C114" i="5"/>
  <c r="B114" i="5"/>
  <c r="S79" i="5"/>
  <c r="R79" i="5"/>
  <c r="S114" i="5"/>
  <c r="R114" i="5"/>
  <c r="K113" i="5"/>
  <c r="J113" i="5"/>
  <c r="B20" i="4"/>
  <c r="C83" i="5"/>
  <c r="B83" i="5"/>
  <c r="C49" i="5"/>
  <c r="B49" i="5"/>
  <c r="S48" i="5"/>
  <c r="R48" i="5"/>
  <c r="K48" i="5"/>
  <c r="J48" i="5"/>
  <c r="Q10" i="5"/>
  <c r="S9" i="5"/>
  <c r="R9" i="5"/>
  <c r="A9" i="5"/>
  <c r="C8" i="5"/>
  <c r="B8" i="5"/>
  <c r="I9" i="5"/>
  <c r="K8" i="5"/>
  <c r="J8" i="5"/>
  <c r="J114" i="5" l="1"/>
  <c r="K114" i="5"/>
  <c r="B115" i="5"/>
  <c r="C115" i="5"/>
  <c r="S80" i="5"/>
  <c r="R80" i="5"/>
  <c r="R115" i="5"/>
  <c r="S115" i="5"/>
  <c r="J79" i="5"/>
  <c r="K79" i="5"/>
  <c r="C84" i="5"/>
  <c r="B84" i="5"/>
  <c r="S49" i="5"/>
  <c r="R49" i="5"/>
  <c r="C50" i="5"/>
  <c r="B50" i="5"/>
  <c r="K49" i="5"/>
  <c r="J49" i="5"/>
  <c r="Q11" i="5"/>
  <c r="S10" i="5"/>
  <c r="R10" i="5"/>
  <c r="K9" i="5"/>
  <c r="J9" i="5"/>
  <c r="I10" i="5"/>
  <c r="A10" i="5"/>
  <c r="C9" i="5"/>
  <c r="B9" i="5"/>
  <c r="P18" i="1"/>
  <c r="P33" i="1" s="1"/>
  <c r="D5" i="5" s="1"/>
  <c r="O18" i="1"/>
  <c r="O33" i="1" s="1"/>
  <c r="N18" i="1"/>
  <c r="N33" i="1" s="1"/>
  <c r="D4" i="5" s="1"/>
  <c r="M18" i="1"/>
  <c r="M33" i="1" s="1"/>
  <c r="L33" i="1"/>
  <c r="D3" i="5" s="1"/>
  <c r="K33" i="1"/>
  <c r="J33" i="1"/>
  <c r="I33" i="1"/>
  <c r="H33" i="1"/>
  <c r="G33" i="1"/>
  <c r="F33" i="1"/>
  <c r="E33" i="1"/>
  <c r="D33" i="1"/>
  <c r="F10" i="2"/>
  <c r="F13" i="2" s="1"/>
  <c r="F22" i="2"/>
  <c r="F21" i="2"/>
  <c r="F20" i="2"/>
  <c r="F19" i="2"/>
  <c r="F18" i="2"/>
  <c r="F17" i="2"/>
  <c r="F12" i="2"/>
  <c r="F6" i="2"/>
  <c r="F5" i="2" s="1"/>
  <c r="F4" i="2" s="1"/>
  <c r="F3" i="2" s="1"/>
  <c r="F2" i="2" s="1"/>
  <c r="C18" i="1"/>
  <c r="C33" i="1" s="1"/>
  <c r="D34" i="5" l="1"/>
  <c r="S116" i="5"/>
  <c r="R116" i="5"/>
  <c r="S81" i="5"/>
  <c r="R81" i="5"/>
  <c r="B116" i="5"/>
  <c r="C116" i="5"/>
  <c r="K80" i="5"/>
  <c r="J80" i="5"/>
  <c r="K115" i="5"/>
  <c r="J115" i="5"/>
  <c r="C85" i="5"/>
  <c r="B85" i="5"/>
  <c r="K50" i="5"/>
  <c r="J50" i="5"/>
  <c r="C51" i="5"/>
  <c r="B51" i="5"/>
  <c r="S50" i="5"/>
  <c r="R50" i="5"/>
  <c r="Q12" i="5"/>
  <c r="S11" i="5"/>
  <c r="R11" i="5"/>
  <c r="A11" i="5"/>
  <c r="B10" i="5"/>
  <c r="C10" i="5"/>
  <c r="J10" i="5"/>
  <c r="I11" i="5"/>
  <c r="K10" i="5"/>
  <c r="F7" i="2"/>
  <c r="D2" i="3" s="1"/>
  <c r="S17" i="1"/>
  <c r="B17" i="3" s="1"/>
  <c r="S17" i="3" s="1"/>
  <c r="B17" i="4" s="1"/>
  <c r="S23" i="1"/>
  <c r="B23" i="3" s="1"/>
  <c r="S23" i="3" s="1"/>
  <c r="B23" i="4" s="1"/>
  <c r="S23" i="4" s="1"/>
  <c r="B23" i="6" s="1"/>
  <c r="S23" i="6" s="1"/>
  <c r="B23" i="7" s="1"/>
  <c r="S23" i="7" s="1"/>
  <c r="B23" i="8" s="1"/>
  <c r="S23" i="8" s="1"/>
  <c r="B23" i="9" s="1"/>
  <c r="S23" i="9" s="1"/>
  <c r="B23" i="10" s="1"/>
  <c r="S23" i="10" s="1"/>
  <c r="B23" i="11" s="1"/>
  <c r="S23" i="11" s="1"/>
  <c r="S24" i="1"/>
  <c r="B24" i="3" s="1"/>
  <c r="S24" i="3" s="1"/>
  <c r="B24" i="4" s="1"/>
  <c r="S14" i="1"/>
  <c r="B14" i="3" s="1"/>
  <c r="S14" i="3" s="1"/>
  <c r="B14" i="4" s="1"/>
  <c r="S5" i="1"/>
  <c r="B5" i="3" s="1"/>
  <c r="S5" i="3" s="1"/>
  <c r="B5" i="4" s="1"/>
  <c r="S7" i="1"/>
  <c r="B7" i="3" s="1"/>
  <c r="S7" i="3" s="1"/>
  <c r="B7" i="4" s="1"/>
  <c r="Q18" i="1"/>
  <c r="Q33" i="1" s="1"/>
  <c r="Q36" i="1" s="1"/>
  <c r="R18" i="1"/>
  <c r="R33" i="1" s="1"/>
  <c r="R36" i="1" s="1"/>
  <c r="S9" i="1"/>
  <c r="B9" i="3" s="1"/>
  <c r="S9" i="3" s="1"/>
  <c r="B9" i="4" s="1"/>
  <c r="S6" i="1"/>
  <c r="B6" i="3" s="1"/>
  <c r="S6" i="3" s="1"/>
  <c r="B6" i="4" s="1"/>
  <c r="F8" i="2"/>
  <c r="H2" i="42" s="1"/>
  <c r="F15" i="2"/>
  <c r="F16" i="2"/>
  <c r="F14" i="2"/>
  <c r="F11" i="2"/>
  <c r="F9" i="2"/>
  <c r="S15" i="1"/>
  <c r="B15" i="3" s="1"/>
  <c r="S22" i="1"/>
  <c r="T5" i="1"/>
  <c r="T18" i="1" s="1"/>
  <c r="T33" i="1" s="1"/>
  <c r="N2" i="36" l="1"/>
  <c r="H2" i="51"/>
  <c r="H2" i="48"/>
  <c r="F2" i="51"/>
  <c r="N2" i="55"/>
  <c r="L2" i="47"/>
  <c r="H2" i="33"/>
  <c r="L2" i="27"/>
  <c r="N2" i="27"/>
  <c r="F2" i="32"/>
  <c r="P2" i="42"/>
  <c r="P2" i="55"/>
  <c r="J2" i="27"/>
  <c r="F2" i="23"/>
  <c r="N2" i="35"/>
  <c r="D2" i="51"/>
  <c r="D2" i="33"/>
  <c r="J2" i="22"/>
  <c r="H2" i="43"/>
  <c r="F2" i="31"/>
  <c r="J2" i="31"/>
  <c r="H2" i="37"/>
  <c r="H2" i="34"/>
  <c r="N2" i="42"/>
  <c r="L2" i="31"/>
  <c r="L2" i="42"/>
  <c r="N2" i="29"/>
  <c r="L2" i="52"/>
  <c r="J2" i="36"/>
  <c r="L2" i="21"/>
  <c r="F2" i="27"/>
  <c r="N2" i="43"/>
  <c r="J2" i="30"/>
  <c r="N2" i="45"/>
  <c r="J2" i="34"/>
  <c r="H2" i="20"/>
  <c r="L2" i="26"/>
  <c r="P2" i="54"/>
  <c r="H2" i="28"/>
  <c r="P2" i="24"/>
  <c r="P2" i="30"/>
  <c r="J2" i="19"/>
  <c r="J2" i="45"/>
  <c r="J2" i="57"/>
  <c r="P2" i="51"/>
  <c r="N2" i="53"/>
  <c r="F2" i="53"/>
  <c r="D2" i="38"/>
  <c r="D2" i="50"/>
  <c r="D2" i="23"/>
  <c r="D2" i="48"/>
  <c r="H2" i="29"/>
  <c r="F2" i="56"/>
  <c r="N2" i="33"/>
  <c r="N2" i="38"/>
  <c r="F2" i="57"/>
  <c r="H2" i="50"/>
  <c r="H2" i="21"/>
  <c r="F2" i="44"/>
  <c r="F2" i="54"/>
  <c r="P2" i="26"/>
  <c r="P2" i="25"/>
  <c r="F2" i="20"/>
  <c r="F2" i="35"/>
  <c r="D2" i="46"/>
  <c r="D2" i="22"/>
  <c r="L2" i="46"/>
  <c r="L2" i="28"/>
  <c r="N2" i="37"/>
  <c r="H2" i="40"/>
  <c r="H2" i="25"/>
  <c r="N2" i="39"/>
  <c r="N2" i="24"/>
  <c r="N2" i="44"/>
  <c r="F2" i="47"/>
  <c r="L2" i="55"/>
  <c r="F2" i="24"/>
  <c r="N2" i="31"/>
  <c r="F2" i="34"/>
  <c r="L2" i="34"/>
  <c r="L2" i="41"/>
  <c r="L2" i="57"/>
  <c r="F2" i="21"/>
  <c r="F2" i="39"/>
  <c r="L2" i="19"/>
  <c r="H2" i="49"/>
  <c r="J2" i="56"/>
  <c r="N2" i="23"/>
  <c r="P2" i="40"/>
  <c r="P2" i="57"/>
  <c r="J2" i="33"/>
  <c r="P2" i="45"/>
  <c r="P2" i="52"/>
  <c r="P2" i="56"/>
  <c r="L2" i="53"/>
  <c r="D2" i="47"/>
  <c r="D2" i="31"/>
  <c r="D2" i="53"/>
  <c r="D2" i="20"/>
  <c r="D2" i="56"/>
  <c r="L2" i="44"/>
  <c r="H2" i="47"/>
  <c r="F2" i="45"/>
  <c r="F2" i="22"/>
  <c r="L2" i="23"/>
  <c r="J2" i="21"/>
  <c r="D2" i="36"/>
  <c r="F2" i="52"/>
  <c r="F2" i="46"/>
  <c r="N2" i="50"/>
  <c r="H2" i="57"/>
  <c r="F2" i="38"/>
  <c r="J2" i="44"/>
  <c r="L2" i="48"/>
  <c r="H2" i="32"/>
  <c r="L2" i="22"/>
  <c r="F2" i="40"/>
  <c r="H2" i="41"/>
  <c r="J2" i="42"/>
  <c r="J2" i="49"/>
  <c r="J2" i="47"/>
  <c r="N2" i="40"/>
  <c r="F2" i="25"/>
  <c r="H2" i="52"/>
  <c r="H2" i="27"/>
  <c r="J2" i="40"/>
  <c r="J2" i="38"/>
  <c r="P2" i="20"/>
  <c r="P2" i="39"/>
  <c r="P2" i="44"/>
  <c r="J2" i="26"/>
  <c r="P2" i="43"/>
  <c r="P2" i="49"/>
  <c r="P2" i="31"/>
  <c r="J2" i="25"/>
  <c r="J2" i="35"/>
  <c r="D2" i="42"/>
  <c r="D2" i="19"/>
  <c r="D2" i="44"/>
  <c r="D2" i="27"/>
  <c r="D2" i="26"/>
  <c r="L2" i="51"/>
  <c r="F2" i="26"/>
  <c r="J2" i="50"/>
  <c r="H2" i="24"/>
  <c r="H2" i="54"/>
  <c r="N2" i="54"/>
  <c r="P2" i="29"/>
  <c r="P2" i="48"/>
  <c r="D2" i="25"/>
  <c r="D2" i="49"/>
  <c r="F2" i="30"/>
  <c r="H2" i="30"/>
  <c r="F2" i="42"/>
  <c r="L2" i="43"/>
  <c r="L2" i="36"/>
  <c r="F2" i="33"/>
  <c r="F2" i="29"/>
  <c r="N2" i="51"/>
  <c r="H2" i="39"/>
  <c r="N2" i="21"/>
  <c r="H2" i="31"/>
  <c r="N2" i="46"/>
  <c r="L2" i="49"/>
  <c r="N2" i="52"/>
  <c r="J2" i="43"/>
  <c r="L2" i="56"/>
  <c r="J2" i="28"/>
  <c r="H2" i="19"/>
  <c r="F2" i="19"/>
  <c r="L2" i="50"/>
  <c r="P2" i="28"/>
  <c r="P2" i="41"/>
  <c r="P2" i="36"/>
  <c r="J2" i="29"/>
  <c r="N2" i="49"/>
  <c r="J2" i="51"/>
  <c r="P2" i="21"/>
  <c r="P2" i="46"/>
  <c r="J2" i="53"/>
  <c r="D2" i="29"/>
  <c r="D2" i="32"/>
  <c r="D2" i="41"/>
  <c r="D2" i="21"/>
  <c r="D2" i="24"/>
  <c r="J2" i="54"/>
  <c r="J2" i="20"/>
  <c r="N2" i="30"/>
  <c r="J2" i="52"/>
  <c r="N2" i="34"/>
  <c r="L2" i="45"/>
  <c r="N2" i="28"/>
  <c r="P2" i="38"/>
  <c r="L2" i="35"/>
  <c r="D2" i="55"/>
  <c r="N2" i="19"/>
  <c r="J2" i="24"/>
  <c r="N2" i="25"/>
  <c r="L2" i="25"/>
  <c r="N2" i="56"/>
  <c r="L2" i="20"/>
  <c r="J2" i="41"/>
  <c r="L2" i="40"/>
  <c r="L2" i="39"/>
  <c r="L2" i="37"/>
  <c r="J2" i="23"/>
  <c r="F2" i="43"/>
  <c r="H2" i="22"/>
  <c r="J2" i="46"/>
  <c r="H2" i="26"/>
  <c r="N2" i="57"/>
  <c r="L2" i="24"/>
  <c r="J2" i="55"/>
  <c r="N2" i="22"/>
  <c r="L2" i="33"/>
  <c r="J2" i="48"/>
  <c r="P2" i="50"/>
  <c r="J2" i="32"/>
  <c r="P2" i="23"/>
  <c r="F2" i="49"/>
  <c r="P2" i="33"/>
  <c r="J2" i="37"/>
  <c r="P2" i="53"/>
  <c r="H2" i="53"/>
  <c r="D2" i="45"/>
  <c r="D2" i="30"/>
  <c r="D2" i="43"/>
  <c r="D2" i="40"/>
  <c r="D2" i="28"/>
  <c r="F2" i="50"/>
  <c r="N2" i="47"/>
  <c r="H2" i="45"/>
  <c r="F2" i="37"/>
  <c r="H2" i="44"/>
  <c r="P2" i="34"/>
  <c r="P2" i="19"/>
  <c r="D2" i="37"/>
  <c r="L2" i="29"/>
  <c r="F2" i="55"/>
  <c r="N2" i="26"/>
  <c r="H2" i="56"/>
  <c r="H2" i="23"/>
  <c r="L2" i="54"/>
  <c r="N2" i="41"/>
  <c r="F2" i="28"/>
  <c r="L2" i="38"/>
  <c r="J2" i="39"/>
  <c r="H2" i="55"/>
  <c r="L2" i="30"/>
  <c r="F2" i="36"/>
  <c r="L2" i="32"/>
  <c r="H2" i="36"/>
  <c r="N2" i="32"/>
  <c r="F2" i="41"/>
  <c r="H2" i="46"/>
  <c r="H2" i="38"/>
  <c r="N2" i="20"/>
  <c r="F2" i="48"/>
  <c r="N2" i="48"/>
  <c r="P2" i="27"/>
  <c r="P2" i="37"/>
  <c r="P2" i="47"/>
  <c r="P2" i="32"/>
  <c r="P2" i="22"/>
  <c r="P2" i="35"/>
  <c r="H2" i="35"/>
  <c r="D2" i="39"/>
  <c r="D2" i="54"/>
  <c r="D2" i="34"/>
  <c r="D2" i="35"/>
  <c r="D2" i="57"/>
  <c r="P2" i="3"/>
  <c r="J2" i="10"/>
  <c r="F2" i="17"/>
  <c r="D2" i="12"/>
  <c r="N2" i="14"/>
  <c r="H2" i="9"/>
  <c r="J2" i="11"/>
  <c r="L2" i="6"/>
  <c r="L2" i="15"/>
  <c r="N2" i="11"/>
  <c r="N2" i="9"/>
  <c r="J2" i="6"/>
  <c r="H2" i="8"/>
  <c r="F2" i="12"/>
  <c r="P2" i="9"/>
  <c r="D2" i="6"/>
  <c r="J2" i="17"/>
  <c r="F2" i="18"/>
  <c r="N2" i="17"/>
  <c r="H2" i="7"/>
  <c r="F2" i="4"/>
  <c r="L2" i="8"/>
  <c r="H2" i="15"/>
  <c r="L2" i="4"/>
  <c r="J2" i="12"/>
  <c r="P2" i="15"/>
  <c r="P2" i="18"/>
  <c r="D2" i="16"/>
  <c r="D2" i="4"/>
  <c r="L2" i="13"/>
  <c r="N2" i="12"/>
  <c r="L2" i="12"/>
  <c r="J2" i="15"/>
  <c r="L2" i="11"/>
  <c r="F2" i="13"/>
  <c r="J2" i="7"/>
  <c r="H2" i="12"/>
  <c r="N2" i="18"/>
  <c r="N2" i="7"/>
  <c r="P2" i="11"/>
  <c r="P2" i="16"/>
  <c r="D2" i="8"/>
  <c r="D2" i="14"/>
  <c r="J2" i="9"/>
  <c r="J2" i="1"/>
  <c r="F2" i="7"/>
  <c r="F2" i="16"/>
  <c r="F2" i="11"/>
  <c r="J2" i="16"/>
  <c r="H2" i="14"/>
  <c r="H2" i="6"/>
  <c r="F2" i="6"/>
  <c r="N2" i="13"/>
  <c r="P2" i="10"/>
  <c r="P2" i="17"/>
  <c r="D2" i="17"/>
  <c r="D2" i="11"/>
  <c r="L2" i="10"/>
  <c r="F2" i="14"/>
  <c r="L2" i="3"/>
  <c r="N2" i="3"/>
  <c r="N2" i="4"/>
  <c r="J2" i="8"/>
  <c r="N2" i="15"/>
  <c r="F2" i="8"/>
  <c r="H2" i="11"/>
  <c r="L2" i="9"/>
  <c r="H2" i="16"/>
  <c r="N2" i="10"/>
  <c r="P2" i="12"/>
  <c r="N2" i="8"/>
  <c r="D2" i="15"/>
  <c r="D2" i="13"/>
  <c r="N2" i="6"/>
  <c r="J2" i="4"/>
  <c r="L2" i="1"/>
  <c r="L2" i="16"/>
  <c r="J2" i="18"/>
  <c r="P2" i="4"/>
  <c r="F2" i="9"/>
  <c r="L2" i="17"/>
  <c r="H2" i="17"/>
  <c r="F2" i="10"/>
  <c r="F2" i="15"/>
  <c r="J2" i="14"/>
  <c r="P2" i="13"/>
  <c r="P2" i="7"/>
  <c r="D2" i="18"/>
  <c r="D2" i="7"/>
  <c r="H2" i="10"/>
  <c r="H2" i="4"/>
  <c r="L2" i="14"/>
  <c r="L2" i="7"/>
  <c r="H2" i="13"/>
  <c r="J2" i="13"/>
  <c r="L2" i="18"/>
  <c r="H2" i="18"/>
  <c r="N2" i="16"/>
  <c r="P2" i="14"/>
  <c r="P2" i="6"/>
  <c r="P2" i="8"/>
  <c r="D2" i="9"/>
  <c r="D2" i="10"/>
  <c r="H2" i="1"/>
  <c r="F2" i="1"/>
  <c r="F2" i="3"/>
  <c r="H2" i="3"/>
  <c r="N2" i="1"/>
  <c r="J2" i="3"/>
  <c r="P2" i="1"/>
  <c r="D2" i="1"/>
  <c r="K81" i="5"/>
  <c r="J81" i="5"/>
  <c r="S82" i="5"/>
  <c r="R82" i="5"/>
  <c r="B22" i="3"/>
  <c r="S31" i="1"/>
  <c r="J116" i="5"/>
  <c r="K116" i="5"/>
  <c r="R117" i="5"/>
  <c r="S117" i="5"/>
  <c r="B117" i="5"/>
  <c r="C117" i="5"/>
  <c r="B86" i="5"/>
  <c r="C86" i="5"/>
  <c r="C52" i="5"/>
  <c r="B52" i="5"/>
  <c r="S51" i="5"/>
  <c r="R51" i="5"/>
  <c r="K51" i="5"/>
  <c r="J51" i="5"/>
  <c r="B18" i="3"/>
  <c r="S15" i="3"/>
  <c r="Q13" i="5"/>
  <c r="R12" i="5"/>
  <c r="S12" i="5"/>
  <c r="K11" i="5"/>
  <c r="J11" i="5"/>
  <c r="I12" i="5"/>
  <c r="A12" i="5"/>
  <c r="C11" i="5"/>
  <c r="B11" i="5"/>
  <c r="B23" i="12"/>
  <c r="S18" i="1"/>
  <c r="S33" i="1" s="1"/>
  <c r="S36" i="1" s="1"/>
  <c r="B33" i="3" l="1"/>
  <c r="S83" i="5"/>
  <c r="R83" i="5"/>
  <c r="S22" i="3"/>
  <c r="B31" i="3"/>
  <c r="S118" i="5"/>
  <c r="R118" i="5"/>
  <c r="J117" i="5"/>
  <c r="K117" i="5"/>
  <c r="J82" i="5"/>
  <c r="K82" i="5"/>
  <c r="C118" i="5"/>
  <c r="B118" i="5"/>
  <c r="C87" i="5"/>
  <c r="B87" i="5"/>
  <c r="S52" i="5"/>
  <c r="R52" i="5"/>
  <c r="K52" i="5"/>
  <c r="J52" i="5"/>
  <c r="C53" i="5"/>
  <c r="B53" i="5"/>
  <c r="B15" i="4"/>
  <c r="S18" i="3"/>
  <c r="S33" i="3" s="1"/>
  <c r="S36" i="3" s="1"/>
  <c r="Q14" i="5"/>
  <c r="S13" i="5"/>
  <c r="R13" i="5"/>
  <c r="A13" i="5"/>
  <c r="C12" i="5"/>
  <c r="B12" i="5"/>
  <c r="J12" i="5"/>
  <c r="I13" i="5"/>
  <c r="K12" i="5"/>
  <c r="S23" i="12"/>
  <c r="S119" i="5" l="1"/>
  <c r="R119" i="5"/>
  <c r="K83" i="5"/>
  <c r="J83" i="5"/>
  <c r="B22" i="4"/>
  <c r="S31" i="3"/>
  <c r="K118" i="5"/>
  <c r="J118" i="5"/>
  <c r="B119" i="5"/>
  <c r="C119" i="5"/>
  <c r="R84" i="5"/>
  <c r="S84" i="5"/>
  <c r="C88" i="5"/>
  <c r="B88" i="5"/>
  <c r="K53" i="5"/>
  <c r="J53" i="5"/>
  <c r="C54" i="5"/>
  <c r="B54" i="5"/>
  <c r="S53" i="5"/>
  <c r="R53" i="5"/>
  <c r="Q15" i="5"/>
  <c r="S14" i="5"/>
  <c r="R14" i="5"/>
  <c r="K13" i="5"/>
  <c r="J13" i="5"/>
  <c r="I14" i="5"/>
  <c r="A14" i="5"/>
  <c r="C13" i="5"/>
  <c r="B13" i="5"/>
  <c r="B23" i="13"/>
  <c r="S85" i="5" l="1"/>
  <c r="R85" i="5"/>
  <c r="C120" i="5"/>
  <c r="B120" i="5"/>
  <c r="K84" i="5"/>
  <c r="J84" i="5"/>
  <c r="K119" i="5"/>
  <c r="J119" i="5"/>
  <c r="S120" i="5"/>
  <c r="R120" i="5"/>
  <c r="C89" i="5"/>
  <c r="B89" i="5"/>
  <c r="C55" i="5"/>
  <c r="B55" i="5"/>
  <c r="S54" i="5"/>
  <c r="R54" i="5"/>
  <c r="K54" i="5"/>
  <c r="J54" i="5"/>
  <c r="R15" i="5"/>
  <c r="Q16" i="5"/>
  <c r="S15" i="5"/>
  <c r="A15" i="5"/>
  <c r="B14" i="5"/>
  <c r="C14" i="5"/>
  <c r="I15" i="5"/>
  <c r="K14" i="5"/>
  <c r="J14" i="5"/>
  <c r="S23" i="13"/>
  <c r="S121" i="5" l="1"/>
  <c r="R121" i="5"/>
  <c r="K85" i="5"/>
  <c r="J85" i="5"/>
  <c r="B121" i="5"/>
  <c r="C121" i="5"/>
  <c r="S86" i="5"/>
  <c r="R86" i="5"/>
  <c r="J120" i="5"/>
  <c r="K120" i="5"/>
  <c r="C90" i="5"/>
  <c r="B90" i="5"/>
  <c r="S55" i="5"/>
  <c r="R55" i="5"/>
  <c r="C56" i="5"/>
  <c r="B56" i="5"/>
  <c r="K55" i="5"/>
  <c r="J55" i="5"/>
  <c r="Q17" i="5"/>
  <c r="R16" i="5"/>
  <c r="S16" i="5"/>
  <c r="K15" i="5"/>
  <c r="J15" i="5"/>
  <c r="I16" i="5"/>
  <c r="A16" i="5"/>
  <c r="B15" i="5"/>
  <c r="C15" i="5"/>
  <c r="B23" i="14"/>
  <c r="K121" i="5" l="1"/>
  <c r="J121" i="5"/>
  <c r="K86" i="5"/>
  <c r="J86" i="5"/>
  <c r="S87" i="5"/>
  <c r="R87" i="5"/>
  <c r="S122" i="5"/>
  <c r="R122" i="5"/>
  <c r="B122" i="5"/>
  <c r="C122" i="5"/>
  <c r="B91" i="5"/>
  <c r="C91" i="5"/>
  <c r="C57" i="5"/>
  <c r="B57" i="5"/>
  <c r="K56" i="5"/>
  <c r="J56" i="5"/>
  <c r="S56" i="5"/>
  <c r="R56" i="5"/>
  <c r="R17" i="5"/>
  <c r="Q18" i="5"/>
  <c r="S17" i="5"/>
  <c r="J16" i="5"/>
  <c r="I17" i="5"/>
  <c r="K16" i="5"/>
  <c r="A17" i="5"/>
  <c r="C16" i="5"/>
  <c r="B16" i="5"/>
  <c r="S23" i="14"/>
  <c r="R88" i="5" l="1"/>
  <c r="S88" i="5"/>
  <c r="B123" i="5"/>
  <c r="C123" i="5"/>
  <c r="J87" i="5"/>
  <c r="K87" i="5"/>
  <c r="R123" i="5"/>
  <c r="S123" i="5"/>
  <c r="J122" i="5"/>
  <c r="K122" i="5"/>
  <c r="C92" i="5"/>
  <c r="B92" i="5"/>
  <c r="S57" i="5"/>
  <c r="R57" i="5"/>
  <c r="C58" i="5"/>
  <c r="B58" i="5"/>
  <c r="K57" i="5"/>
  <c r="J57" i="5"/>
  <c r="Q19" i="5"/>
  <c r="R18" i="5"/>
  <c r="S18" i="5"/>
  <c r="A18" i="5"/>
  <c r="C17" i="5"/>
  <c r="B17" i="5"/>
  <c r="K17" i="5"/>
  <c r="J17" i="5"/>
  <c r="I18" i="5"/>
  <c r="B23" i="15"/>
  <c r="K88" i="5" l="1"/>
  <c r="J88" i="5"/>
  <c r="K123" i="5"/>
  <c r="J123" i="5"/>
  <c r="C124" i="5"/>
  <c r="B124" i="5"/>
  <c r="S124" i="5"/>
  <c r="R124" i="5"/>
  <c r="R89" i="5"/>
  <c r="S89" i="5"/>
  <c r="C93" i="5"/>
  <c r="B93" i="5"/>
  <c r="C59" i="5"/>
  <c r="B59" i="5"/>
  <c r="K58" i="5"/>
  <c r="J58" i="5"/>
  <c r="S58" i="5"/>
  <c r="R58" i="5"/>
  <c r="Q20" i="5"/>
  <c r="S19" i="5"/>
  <c r="R19" i="5"/>
  <c r="K18" i="5"/>
  <c r="J18" i="5"/>
  <c r="I19" i="5"/>
  <c r="A19" i="5"/>
  <c r="B18" i="5"/>
  <c r="C18" i="5"/>
  <c r="S23" i="15"/>
  <c r="B125" i="5" l="1"/>
  <c r="C125" i="5"/>
  <c r="R90" i="5"/>
  <c r="S90" i="5"/>
  <c r="K124" i="5"/>
  <c r="J124" i="5"/>
  <c r="R125" i="5"/>
  <c r="S125" i="5"/>
  <c r="K89" i="5"/>
  <c r="J89" i="5"/>
  <c r="C94" i="5"/>
  <c r="B94" i="5"/>
  <c r="K59" i="5"/>
  <c r="J59" i="5"/>
  <c r="S59" i="5"/>
  <c r="R59" i="5"/>
  <c r="C60" i="5"/>
  <c r="B60" i="5"/>
  <c r="R20" i="5"/>
  <c r="Q21" i="5"/>
  <c r="S20" i="5"/>
  <c r="I20" i="5"/>
  <c r="K19" i="5"/>
  <c r="J19" i="5"/>
  <c r="A20" i="5"/>
  <c r="C19" i="5"/>
  <c r="B19" i="5"/>
  <c r="B23" i="16"/>
  <c r="K125" i="5" l="1"/>
  <c r="J125" i="5"/>
  <c r="K90" i="5"/>
  <c r="J90" i="5"/>
  <c r="S91" i="5"/>
  <c r="R91" i="5"/>
  <c r="S126" i="5"/>
  <c r="R126" i="5"/>
  <c r="C126" i="5"/>
  <c r="B126" i="5"/>
  <c r="C95" i="5"/>
  <c r="B95" i="5"/>
  <c r="S60" i="5"/>
  <c r="R60" i="5"/>
  <c r="C61" i="5"/>
  <c r="B61" i="5"/>
  <c r="K60" i="5"/>
  <c r="J60" i="5"/>
  <c r="Q22" i="5"/>
  <c r="S21" i="5"/>
  <c r="R21" i="5"/>
  <c r="A21" i="5"/>
  <c r="C20" i="5"/>
  <c r="B20" i="5"/>
  <c r="J20" i="5"/>
  <c r="K20" i="5"/>
  <c r="I21" i="5"/>
  <c r="S23" i="16"/>
  <c r="S92" i="5" l="1"/>
  <c r="R92" i="5"/>
  <c r="C127" i="5"/>
  <c r="B127" i="5"/>
  <c r="S127" i="5"/>
  <c r="R127" i="5"/>
  <c r="K91" i="5"/>
  <c r="J91" i="5"/>
  <c r="K126" i="5"/>
  <c r="J126" i="5"/>
  <c r="C96" i="5"/>
  <c r="B96" i="5"/>
  <c r="C62" i="5"/>
  <c r="B62" i="5"/>
  <c r="K61" i="5"/>
  <c r="J61" i="5"/>
  <c r="S61" i="5"/>
  <c r="R61" i="5"/>
  <c r="Q23" i="5"/>
  <c r="S22" i="5"/>
  <c r="R22" i="5"/>
  <c r="I22" i="5"/>
  <c r="K21" i="5"/>
  <c r="J21" i="5"/>
  <c r="A22" i="5"/>
  <c r="C21" i="5"/>
  <c r="B21" i="5"/>
  <c r="B23" i="17"/>
  <c r="K127" i="5" l="1"/>
  <c r="J127" i="5"/>
  <c r="K92" i="5"/>
  <c r="J92" i="5"/>
  <c r="C128" i="5"/>
  <c r="B128" i="5"/>
  <c r="S93" i="5"/>
  <c r="R93" i="5"/>
  <c r="S128" i="5"/>
  <c r="R128" i="5"/>
  <c r="C97" i="5"/>
  <c r="B97" i="5"/>
  <c r="K62" i="5"/>
  <c r="J62" i="5"/>
  <c r="S62" i="5"/>
  <c r="R62" i="5"/>
  <c r="C63" i="5"/>
  <c r="B63" i="5"/>
  <c r="R23" i="5"/>
  <c r="Q24" i="5"/>
  <c r="S23" i="5"/>
  <c r="A23" i="5"/>
  <c r="B22" i="5"/>
  <c r="C22" i="5"/>
  <c r="J22" i="5"/>
  <c r="I23" i="5"/>
  <c r="K22" i="5"/>
  <c r="S23" i="17"/>
  <c r="B129" i="5" l="1"/>
  <c r="C129" i="5"/>
  <c r="R129" i="5"/>
  <c r="S129" i="5"/>
  <c r="K93" i="5"/>
  <c r="J93" i="5"/>
  <c r="S94" i="5"/>
  <c r="R94" i="5"/>
  <c r="K128" i="5"/>
  <c r="J128" i="5"/>
  <c r="C98" i="5"/>
  <c r="B98" i="5"/>
  <c r="S63" i="5"/>
  <c r="R63" i="5"/>
  <c r="K63" i="5"/>
  <c r="J63" i="5"/>
  <c r="C64" i="5"/>
  <c r="B64" i="5"/>
  <c r="R24" i="5"/>
  <c r="S24" i="5"/>
  <c r="Q25" i="5"/>
  <c r="I24" i="5"/>
  <c r="K23" i="5"/>
  <c r="J23" i="5"/>
  <c r="A24" i="5"/>
  <c r="B23" i="5"/>
  <c r="C23" i="5"/>
  <c r="B23" i="18"/>
  <c r="K129" i="5" l="1"/>
  <c r="J129" i="5"/>
  <c r="S130" i="5"/>
  <c r="R130" i="5"/>
  <c r="S95" i="5"/>
  <c r="R95" i="5"/>
  <c r="C130" i="5"/>
  <c r="B130" i="5"/>
  <c r="J94" i="5"/>
  <c r="K94" i="5"/>
  <c r="C99" i="5"/>
  <c r="B99" i="5"/>
  <c r="C65" i="5"/>
  <c r="B65" i="5"/>
  <c r="S64" i="5"/>
  <c r="R64" i="5"/>
  <c r="K64" i="5"/>
  <c r="J64" i="5"/>
  <c r="S25" i="5"/>
  <c r="R25" i="5"/>
  <c r="Q26" i="5"/>
  <c r="A25" i="5"/>
  <c r="C24" i="5"/>
  <c r="B24" i="5"/>
  <c r="J24" i="5"/>
  <c r="I25" i="5"/>
  <c r="K24" i="5"/>
  <c r="S23" i="18"/>
  <c r="S131" i="5" l="1"/>
  <c r="R131" i="5"/>
  <c r="K95" i="5"/>
  <c r="J95" i="5"/>
  <c r="S96" i="5"/>
  <c r="R96" i="5"/>
  <c r="C131" i="5"/>
  <c r="B131" i="5"/>
  <c r="K130" i="5"/>
  <c r="J130" i="5"/>
  <c r="C100" i="5"/>
  <c r="B100" i="5"/>
  <c r="S65" i="5"/>
  <c r="R65" i="5"/>
  <c r="C66" i="5"/>
  <c r="B66" i="5"/>
  <c r="K65" i="5"/>
  <c r="J65" i="5"/>
  <c r="Q27" i="5"/>
  <c r="S26" i="5"/>
  <c r="R26" i="5"/>
  <c r="I26" i="5"/>
  <c r="K25" i="5"/>
  <c r="J25" i="5"/>
  <c r="A26" i="5"/>
  <c r="C25" i="5"/>
  <c r="B25" i="5"/>
  <c r="B23" i="19"/>
  <c r="K131" i="5" l="1"/>
  <c r="J131" i="5"/>
  <c r="C132" i="5"/>
  <c r="B132" i="5"/>
  <c r="K96" i="5"/>
  <c r="J96" i="5"/>
  <c r="S132" i="5"/>
  <c r="R132" i="5"/>
  <c r="R97" i="5"/>
  <c r="S97" i="5"/>
  <c r="C101" i="5"/>
  <c r="B101" i="5"/>
  <c r="K66" i="5"/>
  <c r="J66" i="5"/>
  <c r="S66" i="5"/>
  <c r="R66" i="5"/>
  <c r="C67" i="5"/>
  <c r="B67" i="5"/>
  <c r="S27" i="5"/>
  <c r="R27" i="5"/>
  <c r="Q28" i="5"/>
  <c r="A27" i="5"/>
  <c r="B26" i="5"/>
  <c r="C26" i="5"/>
  <c r="J26" i="5"/>
  <c r="I27" i="5"/>
  <c r="K26" i="5"/>
  <c r="S23" i="19"/>
  <c r="J97" i="5" l="1"/>
  <c r="K97" i="5"/>
  <c r="S98" i="5"/>
  <c r="R98" i="5"/>
  <c r="B133" i="5"/>
  <c r="C133" i="5"/>
  <c r="R133" i="5"/>
  <c r="S133" i="5"/>
  <c r="J132" i="5"/>
  <c r="K132" i="5"/>
  <c r="C102" i="5"/>
  <c r="B102" i="5"/>
  <c r="S67" i="5"/>
  <c r="R67" i="5"/>
  <c r="K67" i="5"/>
  <c r="J67" i="5"/>
  <c r="C68" i="5"/>
  <c r="B68" i="5"/>
  <c r="S28" i="5"/>
  <c r="R28" i="5"/>
  <c r="Q29" i="5"/>
  <c r="I28" i="5"/>
  <c r="K27" i="5"/>
  <c r="J27" i="5"/>
  <c r="A28" i="5"/>
  <c r="C27" i="5"/>
  <c r="B27" i="5"/>
  <c r="B23" i="20"/>
  <c r="G38" i="5" l="1"/>
  <c r="G39" i="5"/>
  <c r="G40" i="5"/>
  <c r="G37" i="5"/>
  <c r="G42" i="5"/>
  <c r="G41" i="5"/>
  <c r="J133" i="5"/>
  <c r="K133" i="5"/>
  <c r="C134" i="5"/>
  <c r="B134" i="5"/>
  <c r="R99" i="5"/>
  <c r="S99" i="5"/>
  <c r="S134" i="5"/>
  <c r="R134" i="5"/>
  <c r="K98" i="5"/>
  <c r="J98" i="5"/>
  <c r="C103" i="5"/>
  <c r="B103" i="5"/>
  <c r="K68" i="5"/>
  <c r="J68" i="5"/>
  <c r="L69" i="5"/>
  <c r="T69" i="5"/>
  <c r="S68" i="5"/>
  <c r="R68" i="5"/>
  <c r="Q30" i="5"/>
  <c r="S29" i="5"/>
  <c r="R29" i="5"/>
  <c r="A29" i="5"/>
  <c r="C28" i="5"/>
  <c r="B28" i="5"/>
  <c r="J28" i="5"/>
  <c r="I29" i="5"/>
  <c r="K28" i="5"/>
  <c r="S23" i="20"/>
  <c r="O40" i="5" l="1"/>
  <c r="O42" i="5"/>
  <c r="O38" i="5"/>
  <c r="O39" i="5"/>
  <c r="O41" i="5"/>
  <c r="O37" i="5"/>
  <c r="G76" i="5"/>
  <c r="G75" i="5"/>
  <c r="G74" i="5"/>
  <c r="G73" i="5"/>
  <c r="G72" i="5"/>
  <c r="G77" i="5"/>
  <c r="W41" i="5"/>
  <c r="W37" i="5"/>
  <c r="W40" i="5"/>
  <c r="W39" i="5"/>
  <c r="W42" i="5"/>
  <c r="W38" i="5"/>
  <c r="K99" i="5"/>
  <c r="J99" i="5"/>
  <c r="S100" i="5"/>
  <c r="R100" i="5"/>
  <c r="C135" i="5"/>
  <c r="B135" i="5"/>
  <c r="S135" i="5"/>
  <c r="R135" i="5"/>
  <c r="K134" i="5"/>
  <c r="J134" i="5"/>
  <c r="R30" i="5"/>
  <c r="Q31" i="5"/>
  <c r="T31" i="5" s="1"/>
  <c r="S30" i="5"/>
  <c r="I30" i="5"/>
  <c r="J29" i="5"/>
  <c r="K29" i="5"/>
  <c r="A30" i="5"/>
  <c r="C29" i="5"/>
  <c r="B29" i="5"/>
  <c r="B23" i="21"/>
  <c r="C136" i="5" l="1"/>
  <c r="B136" i="5"/>
  <c r="R136" i="5"/>
  <c r="S136" i="5"/>
  <c r="R101" i="5"/>
  <c r="S101" i="5"/>
  <c r="K135" i="5"/>
  <c r="J135" i="5"/>
  <c r="K100" i="5"/>
  <c r="J100" i="5"/>
  <c r="Q32" i="5"/>
  <c r="T32" i="5" s="1"/>
  <c r="S31" i="5"/>
  <c r="R31" i="5"/>
  <c r="A31" i="5"/>
  <c r="B30" i="5"/>
  <c r="C30" i="5"/>
  <c r="J30" i="5"/>
  <c r="I31" i="5"/>
  <c r="L31" i="5" s="1"/>
  <c r="K30" i="5"/>
  <c r="S23" i="21"/>
  <c r="J101" i="5" l="1"/>
  <c r="K101" i="5"/>
  <c r="R137" i="5"/>
  <c r="S137" i="5"/>
  <c r="K136" i="5"/>
  <c r="J136" i="5"/>
  <c r="S102" i="5"/>
  <c r="R102" i="5"/>
  <c r="C137" i="5"/>
  <c r="B137" i="5"/>
  <c r="Q33" i="5"/>
  <c r="T33" i="5" s="1"/>
  <c r="T34" i="5" s="1"/>
  <c r="S32" i="5"/>
  <c r="R32" i="5"/>
  <c r="I32" i="5"/>
  <c r="L32" i="5" s="1"/>
  <c r="J31" i="5"/>
  <c r="K31" i="5"/>
  <c r="A32" i="5"/>
  <c r="C31" i="5"/>
  <c r="B31" i="5"/>
  <c r="B23" i="22"/>
  <c r="S103" i="5" l="1"/>
  <c r="T103" i="5"/>
  <c r="T104" i="5" s="1"/>
  <c r="R103" i="5"/>
  <c r="R138" i="5"/>
  <c r="T139" i="5"/>
  <c r="S138" i="5"/>
  <c r="J137" i="5"/>
  <c r="K137" i="5"/>
  <c r="J102" i="5"/>
  <c r="K102" i="5"/>
  <c r="C138" i="5"/>
  <c r="B138" i="5"/>
  <c r="R33" i="5"/>
  <c r="S33" i="5"/>
  <c r="W7" i="5" s="1"/>
  <c r="C32" i="5"/>
  <c r="B32" i="5"/>
  <c r="A33" i="5"/>
  <c r="J32" i="5"/>
  <c r="I33" i="5"/>
  <c r="K32" i="5"/>
  <c r="S23" i="22"/>
  <c r="W112" i="5" l="1"/>
  <c r="W109" i="5"/>
  <c r="W111" i="5"/>
  <c r="W110" i="5"/>
  <c r="W108" i="5"/>
  <c r="W107" i="5"/>
  <c r="W113" i="5"/>
  <c r="G107" i="5"/>
  <c r="G111" i="5"/>
  <c r="G112" i="5"/>
  <c r="G110" i="5"/>
  <c r="G109" i="5"/>
  <c r="G108" i="5"/>
  <c r="W74" i="5"/>
  <c r="W76" i="5"/>
  <c r="W77" i="5"/>
  <c r="W75" i="5"/>
  <c r="W72" i="5"/>
  <c r="W73" i="5"/>
  <c r="K138" i="5"/>
  <c r="L139" i="5"/>
  <c r="J138" i="5"/>
  <c r="L33" i="5"/>
  <c r="L34" i="5" s="1"/>
  <c r="L104" i="5"/>
  <c r="K103" i="5"/>
  <c r="J103" i="5"/>
  <c r="W6" i="5"/>
  <c r="W5" i="5"/>
  <c r="W4" i="5"/>
  <c r="W2" i="5"/>
  <c r="W3" i="5"/>
  <c r="K33" i="5"/>
  <c r="O7" i="5" s="1"/>
  <c r="J33" i="5"/>
  <c r="C33" i="5"/>
  <c r="B33" i="5"/>
  <c r="B23" i="23"/>
  <c r="W115" i="5" l="1"/>
  <c r="O73" i="5"/>
  <c r="O72" i="5"/>
  <c r="O74" i="5"/>
  <c r="O77" i="5"/>
  <c r="O75" i="5"/>
  <c r="O76" i="5"/>
  <c r="W9" i="5"/>
  <c r="G7" i="5"/>
  <c r="W44" i="5"/>
  <c r="G44" i="5"/>
  <c r="O6" i="5"/>
  <c r="O2" i="5"/>
  <c r="O5" i="5"/>
  <c r="O4" i="5"/>
  <c r="O3" i="5"/>
  <c r="G5" i="5"/>
  <c r="G2" i="5"/>
  <c r="G4" i="5"/>
  <c r="G6" i="5"/>
  <c r="G3" i="5"/>
  <c r="S23" i="23"/>
  <c r="W79" i="5" l="1"/>
  <c r="G79" i="5"/>
  <c r="O79" i="5"/>
  <c r="G114" i="5"/>
  <c r="O44" i="5"/>
  <c r="O114" i="5"/>
  <c r="O9" i="5"/>
  <c r="G9" i="5"/>
  <c r="B23" i="24"/>
  <c r="S23" i="24" l="1"/>
  <c r="B23" i="25" l="1"/>
  <c r="S23" i="25" l="1"/>
  <c r="B23" i="26" l="1"/>
  <c r="S23" i="26" l="1"/>
  <c r="B23" i="27" l="1"/>
  <c r="S23" i="27" l="1"/>
  <c r="B23" i="28" l="1"/>
  <c r="S23" i="28" l="1"/>
  <c r="B23" i="29" l="1"/>
  <c r="S23" i="29" l="1"/>
  <c r="B23" i="30" l="1"/>
  <c r="S23" i="30" l="1"/>
  <c r="B23" i="31" l="1"/>
  <c r="S23" i="31" l="1"/>
  <c r="B23" i="32" l="1"/>
  <c r="S23" i="32" l="1"/>
  <c r="B23" i="33" l="1"/>
  <c r="S23" i="33" l="1"/>
  <c r="B23" i="34" l="1"/>
  <c r="S23" i="34" l="1"/>
  <c r="B23" i="35" l="1"/>
  <c r="S23" i="35" l="1"/>
  <c r="B23" i="36" l="1"/>
  <c r="S23" i="36" l="1"/>
  <c r="B23" i="37" l="1"/>
  <c r="S23" i="37" l="1"/>
  <c r="B23" i="38" l="1"/>
  <c r="S23" i="38" l="1"/>
  <c r="B23" i="39" l="1"/>
  <c r="S23" i="39" l="1"/>
  <c r="B23" i="40" l="1"/>
  <c r="S23" i="40" l="1"/>
  <c r="B23" i="41" l="1"/>
  <c r="S23" i="41" l="1"/>
  <c r="B23" i="42" l="1"/>
  <c r="S23" i="42" l="1"/>
  <c r="B23" i="43" l="1"/>
  <c r="S23" i="43" l="1"/>
  <c r="B23" i="44" l="1"/>
  <c r="S23" i="44" l="1"/>
  <c r="B23" i="45" l="1"/>
  <c r="S23" i="45" l="1"/>
  <c r="B23" i="46" l="1"/>
  <c r="S23" i="46" l="1"/>
  <c r="B23" i="47" l="1"/>
  <c r="S23" i="47" l="1"/>
  <c r="B23" i="48" l="1"/>
  <c r="S23" i="48" l="1"/>
  <c r="B23" i="49" l="1"/>
  <c r="S23" i="49" l="1"/>
  <c r="B23" i="50" l="1"/>
  <c r="S23" i="50" l="1"/>
  <c r="B23" i="51" l="1"/>
  <c r="S23" i="51" l="1"/>
  <c r="B23" i="52" l="1"/>
  <c r="S23" i="52" l="1"/>
  <c r="B23" i="53" l="1"/>
  <c r="S23" i="53" l="1"/>
  <c r="B23" i="54" l="1"/>
  <c r="S23" i="54" l="1"/>
  <c r="B23" i="55" l="1"/>
  <c r="S23" i="55" l="1"/>
  <c r="B23" i="56" l="1"/>
  <c r="S23" i="56" l="1"/>
  <c r="B23" i="57" l="1"/>
  <c r="S23" i="57" l="1"/>
  <c r="S28" i="4" l="1"/>
  <c r="B28" i="6" s="1"/>
  <c r="S28" i="6" s="1"/>
  <c r="B28" i="7" s="1"/>
  <c r="S28" i="7" s="1"/>
  <c r="B28" i="8" s="1"/>
  <c r="S28" i="8" s="1"/>
  <c r="B28" i="9" s="1"/>
  <c r="S28" i="9" s="1"/>
  <c r="B28" i="10" s="1"/>
  <c r="S28" i="10" s="1"/>
  <c r="B28" i="11" s="1"/>
  <c r="S28" i="11" s="1"/>
  <c r="B28" i="12" s="1"/>
  <c r="S28" i="12" s="1"/>
  <c r="B28" i="13" s="1"/>
  <c r="S28" i="13" s="1"/>
  <c r="B28" i="14" s="1"/>
  <c r="S28" i="14" s="1"/>
  <c r="B28" i="15" s="1"/>
  <c r="S28" i="15" s="1"/>
  <c r="B28" i="16" s="1"/>
  <c r="S28" i="16" s="1"/>
  <c r="B28" i="17" s="1"/>
  <c r="S28" i="17" s="1"/>
  <c r="B28" i="18" s="1"/>
  <c r="S28" i="18" s="1"/>
  <c r="B28" i="19" s="1"/>
  <c r="S28" i="19" s="1"/>
  <c r="B28" i="20" s="1"/>
  <c r="S28" i="20" s="1"/>
  <c r="B28" i="21" s="1"/>
  <c r="S28" i="21" s="1"/>
  <c r="B28" i="22" s="1"/>
  <c r="S28" i="22" s="1"/>
  <c r="B28" i="23" s="1"/>
  <c r="S28" i="23" s="1"/>
  <c r="B28" i="24" s="1"/>
  <c r="S28" i="24" s="1"/>
  <c r="B28" i="25" s="1"/>
  <c r="S28" i="25" s="1"/>
  <c r="B28" i="26" s="1"/>
  <c r="S28" i="26" s="1"/>
  <c r="B28" i="27" s="1"/>
  <c r="S28" i="27" s="1"/>
  <c r="B28" i="28" s="1"/>
  <c r="S28" i="28" s="1"/>
  <c r="B28" i="29" s="1"/>
  <c r="S28" i="29" s="1"/>
  <c r="B28" i="30" s="1"/>
  <c r="S28" i="30" s="1"/>
  <c r="B28" i="31" s="1"/>
  <c r="S28" i="31" s="1"/>
  <c r="B28" i="32" s="1"/>
  <c r="S28" i="32" s="1"/>
  <c r="B28" i="33" s="1"/>
  <c r="S28" i="33" s="1"/>
  <c r="B28" i="34" s="1"/>
  <c r="S28" i="34" s="1"/>
  <c r="B28" i="35" s="1"/>
  <c r="S28" i="35" s="1"/>
  <c r="B28" i="36" s="1"/>
  <c r="S28" i="36" s="1"/>
  <c r="B28" i="37" s="1"/>
  <c r="S28" i="37" s="1"/>
  <c r="B28" i="38" s="1"/>
  <c r="S28" i="38" s="1"/>
  <c r="B28" i="39" s="1"/>
  <c r="S28" i="39" s="1"/>
  <c r="B28" i="40" s="1"/>
  <c r="S28" i="40" s="1"/>
  <c r="B28" i="41" s="1"/>
  <c r="S28" i="41" s="1"/>
  <c r="B28" i="42" s="1"/>
  <c r="S28" i="42" s="1"/>
  <c r="B28" i="43" s="1"/>
  <c r="S28" i="43" s="1"/>
  <c r="B28" i="44" s="1"/>
  <c r="S28" i="44" s="1"/>
  <c r="B28" i="45" s="1"/>
  <c r="S28" i="45" s="1"/>
  <c r="B28" i="46" s="1"/>
  <c r="S28" i="46" s="1"/>
  <c r="B28" i="47" s="1"/>
  <c r="S28" i="47" s="1"/>
  <c r="B28" i="48" s="1"/>
  <c r="S28" i="48" s="1"/>
  <c r="B28" i="49" s="1"/>
  <c r="S28" i="49" s="1"/>
  <c r="B28" i="50" s="1"/>
  <c r="S28" i="50" s="1"/>
  <c r="B28" i="51" s="1"/>
  <c r="S28" i="51" s="1"/>
  <c r="B28" i="52" s="1"/>
  <c r="S28" i="52" s="1"/>
  <c r="B28" i="53" s="1"/>
  <c r="S28" i="53" s="1"/>
  <c r="B28" i="54" s="1"/>
  <c r="S28" i="54" s="1"/>
  <c r="B28" i="55" s="1"/>
  <c r="S28" i="55" s="1"/>
  <c r="B28" i="56" s="1"/>
  <c r="S28" i="56" s="1"/>
  <c r="B28" i="57" s="1"/>
  <c r="S28" i="57" s="1"/>
  <c r="S11" i="4"/>
  <c r="B11" i="6" s="1"/>
  <c r="S11" i="6" s="1"/>
  <c r="B11" i="7" s="1"/>
  <c r="S11" i="7" s="1"/>
  <c r="B11" i="8" s="1"/>
  <c r="S11" i="8" s="1"/>
  <c r="B11" i="9" s="1"/>
  <c r="S11" i="9" s="1"/>
  <c r="B11" i="10" s="1"/>
  <c r="S11" i="10" s="1"/>
  <c r="B11" i="11" s="1"/>
  <c r="S11" i="11" s="1"/>
  <c r="B11" i="12" s="1"/>
  <c r="S11" i="12" s="1"/>
  <c r="B11" i="13" s="1"/>
  <c r="S11" i="13" s="1"/>
  <c r="B11" i="14" s="1"/>
  <c r="S11" i="14" s="1"/>
  <c r="B11" i="15" s="1"/>
  <c r="S11" i="15" s="1"/>
  <c r="B11" i="16" s="1"/>
  <c r="S11" i="16" s="1"/>
  <c r="B11" i="17" s="1"/>
  <c r="S11" i="17" s="1"/>
  <c r="B11" i="18" s="1"/>
  <c r="S11" i="18" s="1"/>
  <c r="B11" i="19" s="1"/>
  <c r="S11" i="19" s="1"/>
  <c r="B11" i="20" s="1"/>
  <c r="S11" i="20" s="1"/>
  <c r="B11" i="21" s="1"/>
  <c r="S11" i="21" s="1"/>
  <c r="B11" i="22" s="1"/>
  <c r="S11" i="22" s="1"/>
  <c r="B11" i="23" s="1"/>
  <c r="S11" i="23" s="1"/>
  <c r="B11" i="24" s="1"/>
  <c r="S11" i="24" s="1"/>
  <c r="B11" i="25" s="1"/>
  <c r="S11" i="25" s="1"/>
  <c r="B11" i="26" s="1"/>
  <c r="S11" i="26" s="1"/>
  <c r="B11" i="27" s="1"/>
  <c r="S11" i="27" s="1"/>
  <c r="B11" i="28" s="1"/>
  <c r="S11" i="28" s="1"/>
  <c r="B11" i="29" s="1"/>
  <c r="S11" i="29" s="1"/>
  <c r="B11" i="30" s="1"/>
  <c r="S11" i="30" s="1"/>
  <c r="B11" i="31" s="1"/>
  <c r="S11" i="31" s="1"/>
  <c r="B11" i="32" s="1"/>
  <c r="S11" i="32" s="1"/>
  <c r="B11" i="33" s="1"/>
  <c r="S11" i="33" s="1"/>
  <c r="B11" i="34" s="1"/>
  <c r="S11" i="34" s="1"/>
  <c r="B11" i="35" s="1"/>
  <c r="S11" i="35" s="1"/>
  <c r="B11" i="36" s="1"/>
  <c r="S11" i="36" s="1"/>
  <c r="B11" i="37" s="1"/>
  <c r="S11" i="37" s="1"/>
  <c r="B11" i="38" s="1"/>
  <c r="S11" i="38" s="1"/>
  <c r="B11" i="39" s="1"/>
  <c r="S11" i="39" s="1"/>
  <c r="B11" i="40" s="1"/>
  <c r="S11" i="40" s="1"/>
  <c r="B11" i="41" s="1"/>
  <c r="S11" i="41" s="1"/>
  <c r="B11" i="42" s="1"/>
  <c r="S11" i="42" s="1"/>
  <c r="B11" i="43" s="1"/>
  <c r="S11" i="43" s="1"/>
  <c r="B11" i="44" s="1"/>
  <c r="S11" i="44" s="1"/>
  <c r="B11" i="45" s="1"/>
  <c r="S11" i="45" s="1"/>
  <c r="B11" i="46" s="1"/>
  <c r="S11" i="46" s="1"/>
  <c r="B11" i="47" s="1"/>
  <c r="S11" i="47" s="1"/>
  <c r="B11" i="48" s="1"/>
  <c r="S11" i="48" s="1"/>
  <c r="B11" i="49" s="1"/>
  <c r="S11" i="49" s="1"/>
  <c r="B11" i="50" s="1"/>
  <c r="S11" i="50" s="1"/>
  <c r="B11" i="51" s="1"/>
  <c r="S11" i="51" s="1"/>
  <c r="B11" i="52" s="1"/>
  <c r="S11" i="52" s="1"/>
  <c r="B11" i="53" s="1"/>
  <c r="S11" i="53" s="1"/>
  <c r="B11" i="54" s="1"/>
  <c r="S11" i="54" s="1"/>
  <c r="B11" i="55" s="1"/>
  <c r="S11" i="55" s="1"/>
  <c r="B11" i="56" s="1"/>
  <c r="S11" i="56" s="1"/>
  <c r="B11" i="57" s="1"/>
  <c r="S11" i="57" s="1"/>
  <c r="S30" i="4"/>
  <c r="B30" i="6" s="1"/>
  <c r="S30" i="6" s="1"/>
  <c r="B30" i="7" s="1"/>
  <c r="S30" i="7" s="1"/>
  <c r="B30" i="8" s="1"/>
  <c r="S30" i="8" s="1"/>
  <c r="B30" i="9" s="1"/>
  <c r="S30" i="9" s="1"/>
  <c r="B30" i="10" s="1"/>
  <c r="S30" i="10" s="1"/>
  <c r="B30" i="11" s="1"/>
  <c r="S30" i="11" s="1"/>
  <c r="B30" i="12" s="1"/>
  <c r="S30" i="12" s="1"/>
  <c r="B30" i="13" s="1"/>
  <c r="S30" i="13" s="1"/>
  <c r="B30" i="14" s="1"/>
  <c r="S30" i="14" s="1"/>
  <c r="B30" i="15" s="1"/>
  <c r="S30" i="15" s="1"/>
  <c r="B30" i="16" s="1"/>
  <c r="S30" i="16" s="1"/>
  <c r="B30" i="17" s="1"/>
  <c r="S30" i="17" s="1"/>
  <c r="B30" i="18" s="1"/>
  <c r="S30" i="18" s="1"/>
  <c r="B30" i="19" s="1"/>
  <c r="S30" i="19" s="1"/>
  <c r="B30" i="20" s="1"/>
  <c r="S30" i="20" s="1"/>
  <c r="B30" i="21" s="1"/>
  <c r="S30" i="21" s="1"/>
  <c r="B30" i="22" s="1"/>
  <c r="S30" i="22" s="1"/>
  <c r="B30" i="23" s="1"/>
  <c r="S30" i="23" s="1"/>
  <c r="B30" i="24" s="1"/>
  <c r="S30" i="24" s="1"/>
  <c r="B30" i="25" s="1"/>
  <c r="S30" i="25" s="1"/>
  <c r="B30" i="26" s="1"/>
  <c r="S30" i="26" s="1"/>
  <c r="B30" i="27" s="1"/>
  <c r="S30" i="27" s="1"/>
  <c r="B30" i="28" s="1"/>
  <c r="S30" i="28" s="1"/>
  <c r="B30" i="29" s="1"/>
  <c r="S30" i="29" s="1"/>
  <c r="B30" i="30" s="1"/>
  <c r="S30" i="30" s="1"/>
  <c r="B30" i="31" s="1"/>
  <c r="S30" i="31" s="1"/>
  <c r="B30" i="32" s="1"/>
  <c r="S30" i="32" s="1"/>
  <c r="B30" i="33" s="1"/>
  <c r="S30" i="33" s="1"/>
  <c r="B30" i="34" s="1"/>
  <c r="S30" i="34" s="1"/>
  <c r="B30" i="35" s="1"/>
  <c r="S30" i="35" s="1"/>
  <c r="B30" i="36" s="1"/>
  <c r="S30" i="36" s="1"/>
  <c r="B30" i="37" s="1"/>
  <c r="S30" i="37" s="1"/>
  <c r="B30" i="38" s="1"/>
  <c r="S30" i="38" s="1"/>
  <c r="B30" i="39" s="1"/>
  <c r="S30" i="39" s="1"/>
  <c r="B30" i="40" s="1"/>
  <c r="S30" i="40" s="1"/>
  <c r="B30" i="41" s="1"/>
  <c r="S30" i="41" s="1"/>
  <c r="B30" i="42" s="1"/>
  <c r="S30" i="42" s="1"/>
  <c r="B30" i="43" s="1"/>
  <c r="S30" i="43" s="1"/>
  <c r="B30" i="44" s="1"/>
  <c r="S30" i="44" s="1"/>
  <c r="B30" i="45" s="1"/>
  <c r="S30" i="45" s="1"/>
  <c r="B30" i="46" s="1"/>
  <c r="S30" i="46" s="1"/>
  <c r="B30" i="47" s="1"/>
  <c r="S30" i="47" s="1"/>
  <c r="B30" i="48" s="1"/>
  <c r="S30" i="48" s="1"/>
  <c r="B30" i="49" s="1"/>
  <c r="S30" i="49" s="1"/>
  <c r="B30" i="50" s="1"/>
  <c r="S30" i="50" s="1"/>
  <c r="B30" i="51" s="1"/>
  <c r="S30" i="51" s="1"/>
  <c r="B30" i="52" s="1"/>
  <c r="S30" i="52" s="1"/>
  <c r="B30" i="53" s="1"/>
  <c r="S30" i="53" s="1"/>
  <c r="B30" i="54" s="1"/>
  <c r="S30" i="54" s="1"/>
  <c r="B30" i="55" s="1"/>
  <c r="S30" i="55" s="1"/>
  <c r="B30" i="56" s="1"/>
  <c r="S30" i="56" s="1"/>
  <c r="B30" i="57" s="1"/>
  <c r="S30" i="57" s="1"/>
  <c r="S12" i="4"/>
  <c r="B12" i="6" s="1"/>
  <c r="S12" i="6" s="1"/>
  <c r="B12" i="7" s="1"/>
  <c r="S12" i="7" s="1"/>
  <c r="B12" i="8" s="1"/>
  <c r="S12" i="8" s="1"/>
  <c r="B12" i="9" s="1"/>
  <c r="S12" i="9" s="1"/>
  <c r="B12" i="10" s="1"/>
  <c r="S12" i="10" s="1"/>
  <c r="B12" i="11" s="1"/>
  <c r="S12" i="11" s="1"/>
  <c r="B12" i="12" s="1"/>
  <c r="S12" i="12" s="1"/>
  <c r="B12" i="13" s="1"/>
  <c r="S12" i="13" s="1"/>
  <c r="B12" i="14" s="1"/>
  <c r="S12" i="14" s="1"/>
  <c r="B12" i="15" s="1"/>
  <c r="S12" i="15" s="1"/>
  <c r="B12" i="16" s="1"/>
  <c r="S12" i="16" s="1"/>
  <c r="B12" i="17" s="1"/>
  <c r="S12" i="17" s="1"/>
  <c r="B12" i="18" s="1"/>
  <c r="S12" i="18" s="1"/>
  <c r="B12" i="19" s="1"/>
  <c r="S12" i="19" s="1"/>
  <c r="B12" i="20" s="1"/>
  <c r="S12" i="20" s="1"/>
  <c r="B12" i="21" s="1"/>
  <c r="S12" i="21" s="1"/>
  <c r="B12" i="22" s="1"/>
  <c r="S12" i="22" s="1"/>
  <c r="B12" i="23" s="1"/>
  <c r="S12" i="23" s="1"/>
  <c r="B12" i="24" s="1"/>
  <c r="S12" i="24" s="1"/>
  <c r="B12" i="25" s="1"/>
  <c r="S12" i="25" s="1"/>
  <c r="B12" i="26" s="1"/>
  <c r="S12" i="26" s="1"/>
  <c r="B12" i="27" s="1"/>
  <c r="S12" i="27" s="1"/>
  <c r="B12" i="28" s="1"/>
  <c r="S12" i="28" s="1"/>
  <c r="B12" i="29" s="1"/>
  <c r="S12" i="29" s="1"/>
  <c r="B12" i="30" s="1"/>
  <c r="S12" i="30" s="1"/>
  <c r="B12" i="31" s="1"/>
  <c r="S12" i="31" s="1"/>
  <c r="B12" i="32" s="1"/>
  <c r="S12" i="32" s="1"/>
  <c r="B12" i="33" s="1"/>
  <c r="S12" i="33" s="1"/>
  <c r="B12" i="34" s="1"/>
  <c r="S12" i="34" s="1"/>
  <c r="B12" i="35" s="1"/>
  <c r="S12" i="35" s="1"/>
  <c r="B12" i="36" s="1"/>
  <c r="S12" i="36" s="1"/>
  <c r="B12" i="37" s="1"/>
  <c r="S12" i="37" s="1"/>
  <c r="B12" i="38" s="1"/>
  <c r="S12" i="38" s="1"/>
  <c r="B12" i="39" s="1"/>
  <c r="S12" i="39" s="1"/>
  <c r="B12" i="40" s="1"/>
  <c r="S12" i="40" s="1"/>
  <c r="B12" i="41" s="1"/>
  <c r="S12" i="41" s="1"/>
  <c r="B12" i="42" s="1"/>
  <c r="S12" i="42" s="1"/>
  <c r="B12" i="43" s="1"/>
  <c r="S12" i="43" s="1"/>
  <c r="B12" i="44" s="1"/>
  <c r="S12" i="44" s="1"/>
  <c r="B12" i="45" s="1"/>
  <c r="S12" i="45" s="1"/>
  <c r="B12" i="46" s="1"/>
  <c r="S12" i="46" s="1"/>
  <c r="B12" i="47" s="1"/>
  <c r="S12" i="47" s="1"/>
  <c r="B12" i="48" s="1"/>
  <c r="S12" i="48" s="1"/>
  <c r="B12" i="49" s="1"/>
  <c r="S12" i="49" s="1"/>
  <c r="B12" i="50" s="1"/>
  <c r="S12" i="50" s="1"/>
  <c r="B12" i="51" s="1"/>
  <c r="S12" i="51" s="1"/>
  <c r="B12" i="52" s="1"/>
  <c r="S12" i="52" s="1"/>
  <c r="B12" i="53" s="1"/>
  <c r="S12" i="53" s="1"/>
  <c r="B12" i="54" s="1"/>
  <c r="S12" i="54" s="1"/>
  <c r="B12" i="55" s="1"/>
  <c r="S12" i="55" s="1"/>
  <c r="B12" i="56" s="1"/>
  <c r="S12" i="56" s="1"/>
  <c r="B12" i="57" s="1"/>
  <c r="S12" i="57" s="1"/>
  <c r="S14" i="4"/>
  <c r="B14" i="6" s="1"/>
  <c r="S14" i="6" s="1"/>
  <c r="B14" i="7" s="1"/>
  <c r="S14" i="7" s="1"/>
  <c r="B14" i="8" s="1"/>
  <c r="S14" i="8" s="1"/>
  <c r="B14" i="9" s="1"/>
  <c r="S14" i="9" s="1"/>
  <c r="B14" i="10" s="1"/>
  <c r="S14" i="10" s="1"/>
  <c r="B14" i="11" s="1"/>
  <c r="S14" i="11" s="1"/>
  <c r="B14" i="12" s="1"/>
  <c r="S14" i="12" s="1"/>
  <c r="B14" i="13" s="1"/>
  <c r="S14" i="13" s="1"/>
  <c r="B14" i="14" s="1"/>
  <c r="S14" i="14" s="1"/>
  <c r="B14" i="15" s="1"/>
  <c r="S14" i="15" s="1"/>
  <c r="B14" i="16" s="1"/>
  <c r="S14" i="16" s="1"/>
  <c r="B14" i="17" s="1"/>
  <c r="S14" i="17" s="1"/>
  <c r="B14" i="18" s="1"/>
  <c r="S14" i="18" s="1"/>
  <c r="B14" i="19" s="1"/>
  <c r="S14" i="19" s="1"/>
  <c r="B14" i="20" s="1"/>
  <c r="S14" i="20" s="1"/>
  <c r="B14" i="21" s="1"/>
  <c r="S14" i="21" s="1"/>
  <c r="B14" i="22" s="1"/>
  <c r="S14" i="22" s="1"/>
  <c r="B14" i="23" s="1"/>
  <c r="S14" i="23" s="1"/>
  <c r="B14" i="24" s="1"/>
  <c r="S14" i="24" s="1"/>
  <c r="B14" i="25" s="1"/>
  <c r="S14" i="25" s="1"/>
  <c r="B14" i="26" s="1"/>
  <c r="S14" i="26" s="1"/>
  <c r="B14" i="27" s="1"/>
  <c r="S14" i="27" s="1"/>
  <c r="B14" i="28" s="1"/>
  <c r="S14" i="28" s="1"/>
  <c r="B14" i="29" s="1"/>
  <c r="S14" i="29" s="1"/>
  <c r="B14" i="30" s="1"/>
  <c r="S14" i="30" s="1"/>
  <c r="B14" i="31" s="1"/>
  <c r="S14" i="31" s="1"/>
  <c r="B14" i="32" s="1"/>
  <c r="S14" i="32" s="1"/>
  <c r="B14" i="33" s="1"/>
  <c r="S14" i="33" s="1"/>
  <c r="B14" i="34" s="1"/>
  <c r="S14" i="34" s="1"/>
  <c r="B14" i="35" s="1"/>
  <c r="S14" i="35" s="1"/>
  <c r="B14" i="36" s="1"/>
  <c r="S14" i="36" s="1"/>
  <c r="B14" i="37" s="1"/>
  <c r="S14" i="37" s="1"/>
  <c r="B14" i="38" s="1"/>
  <c r="S14" i="38" s="1"/>
  <c r="B14" i="39" s="1"/>
  <c r="S14" i="39" s="1"/>
  <c r="B14" i="40" s="1"/>
  <c r="S14" i="40" s="1"/>
  <c r="B14" i="41" s="1"/>
  <c r="S14" i="41" s="1"/>
  <c r="B14" i="42" s="1"/>
  <c r="S14" i="42" s="1"/>
  <c r="B14" i="43" s="1"/>
  <c r="S14" i="43" s="1"/>
  <c r="B14" i="44" s="1"/>
  <c r="S14" i="44" s="1"/>
  <c r="B14" i="45" s="1"/>
  <c r="S14" i="45" s="1"/>
  <c r="B14" i="46" s="1"/>
  <c r="S14" i="46" s="1"/>
  <c r="B14" i="47" s="1"/>
  <c r="S14" i="47" s="1"/>
  <c r="B14" i="48" s="1"/>
  <c r="S14" i="48" s="1"/>
  <c r="B14" i="49" s="1"/>
  <c r="S14" i="49" s="1"/>
  <c r="B14" i="50" s="1"/>
  <c r="S14" i="50" s="1"/>
  <c r="B14" i="51" s="1"/>
  <c r="S14" i="51" s="1"/>
  <c r="B14" i="52" s="1"/>
  <c r="S14" i="52" s="1"/>
  <c r="B14" i="53" s="1"/>
  <c r="S14" i="53" s="1"/>
  <c r="B14" i="54" s="1"/>
  <c r="S14" i="54" s="1"/>
  <c r="B14" i="55" s="1"/>
  <c r="S14" i="55" s="1"/>
  <c r="B14" i="56" s="1"/>
  <c r="S14" i="56" s="1"/>
  <c r="B14" i="57" s="1"/>
  <c r="S14" i="57" s="1"/>
  <c r="S15" i="4"/>
  <c r="B15" i="6" s="1"/>
  <c r="S15" i="6" s="1"/>
  <c r="B15" i="7" s="1"/>
  <c r="S15" i="7" s="1"/>
  <c r="B15" i="8" s="1"/>
  <c r="S15" i="8" s="1"/>
  <c r="B15" i="9" s="1"/>
  <c r="S15" i="9" s="1"/>
  <c r="B15" i="10" s="1"/>
  <c r="S15" i="10" s="1"/>
  <c r="B15" i="11" s="1"/>
  <c r="S15" i="11" s="1"/>
  <c r="B15" i="12" s="1"/>
  <c r="S15" i="12" s="1"/>
  <c r="B15" i="13" s="1"/>
  <c r="S15" i="13" s="1"/>
  <c r="B15" i="14" s="1"/>
  <c r="S15" i="14" s="1"/>
  <c r="B15" i="15" s="1"/>
  <c r="S15" i="15" s="1"/>
  <c r="B15" i="16" s="1"/>
  <c r="S15" i="16" s="1"/>
  <c r="B15" i="17" s="1"/>
  <c r="S15" i="17" s="1"/>
  <c r="B15" i="18" s="1"/>
  <c r="S15" i="18" s="1"/>
  <c r="B15" i="19" s="1"/>
  <c r="S15" i="19" s="1"/>
  <c r="B15" i="20" s="1"/>
  <c r="S15" i="20" s="1"/>
  <c r="B15" i="21" s="1"/>
  <c r="S15" i="21" s="1"/>
  <c r="B15" i="22" s="1"/>
  <c r="S15" i="22" s="1"/>
  <c r="B15" i="23" s="1"/>
  <c r="S15" i="23" s="1"/>
  <c r="B15" i="24" s="1"/>
  <c r="S15" i="24" s="1"/>
  <c r="B15" i="25" s="1"/>
  <c r="S15" i="25" s="1"/>
  <c r="B15" i="26" s="1"/>
  <c r="S15" i="26" s="1"/>
  <c r="B15" i="27" s="1"/>
  <c r="S15" i="27" s="1"/>
  <c r="B15" i="28" s="1"/>
  <c r="S15" i="28" s="1"/>
  <c r="B15" i="29" s="1"/>
  <c r="S15" i="29" s="1"/>
  <c r="B15" i="30" s="1"/>
  <c r="S15" i="30" s="1"/>
  <c r="B15" i="31" s="1"/>
  <c r="S15" i="31" s="1"/>
  <c r="B15" i="32" s="1"/>
  <c r="S15" i="32" s="1"/>
  <c r="B15" i="33" s="1"/>
  <c r="S15" i="33" s="1"/>
  <c r="B15" i="34" s="1"/>
  <c r="S15" i="34" s="1"/>
  <c r="B15" i="35" s="1"/>
  <c r="S15" i="35" s="1"/>
  <c r="B15" i="36" s="1"/>
  <c r="S15" i="36" s="1"/>
  <c r="B15" i="37" s="1"/>
  <c r="S15" i="37" s="1"/>
  <c r="B15" i="38" s="1"/>
  <c r="S15" i="38" s="1"/>
  <c r="B15" i="39" s="1"/>
  <c r="S15" i="39" s="1"/>
  <c r="B15" i="40" s="1"/>
  <c r="S15" i="40" s="1"/>
  <c r="B15" i="41" s="1"/>
  <c r="S15" i="41" s="1"/>
  <c r="B15" i="42" s="1"/>
  <c r="S15" i="42" s="1"/>
  <c r="B15" i="43" s="1"/>
  <c r="S15" i="43" s="1"/>
  <c r="B15" i="44" s="1"/>
  <c r="S15" i="44" s="1"/>
  <c r="B15" i="45" s="1"/>
  <c r="S15" i="45" s="1"/>
  <c r="B15" i="46" s="1"/>
  <c r="S15" i="46" s="1"/>
  <c r="B15" i="47" s="1"/>
  <c r="S15" i="47" s="1"/>
  <c r="B15" i="48" s="1"/>
  <c r="S15" i="48" s="1"/>
  <c r="B15" i="49" s="1"/>
  <c r="S15" i="49" s="1"/>
  <c r="B15" i="50" s="1"/>
  <c r="S15" i="50" s="1"/>
  <c r="B15" i="51" s="1"/>
  <c r="S15" i="51" s="1"/>
  <c r="B15" i="52" s="1"/>
  <c r="S15" i="52" s="1"/>
  <c r="B15" i="53" s="1"/>
  <c r="S15" i="53" s="1"/>
  <c r="B15" i="54" s="1"/>
  <c r="S15" i="54" s="1"/>
  <c r="B15" i="55" s="1"/>
  <c r="S15" i="55" s="1"/>
  <c r="B15" i="56" s="1"/>
  <c r="S15" i="56" s="1"/>
  <c r="B15" i="57" s="1"/>
  <c r="S15" i="57" s="1"/>
  <c r="S17" i="4"/>
  <c r="B17" i="6" s="1"/>
  <c r="S17" i="6" s="1"/>
  <c r="B17" i="7" s="1"/>
  <c r="S17" i="7" s="1"/>
  <c r="B17" i="8" s="1"/>
  <c r="S17" i="8" s="1"/>
  <c r="B17" i="9" s="1"/>
  <c r="S17" i="9" s="1"/>
  <c r="B17" i="10" s="1"/>
  <c r="S17" i="10" s="1"/>
  <c r="B17" i="11" s="1"/>
  <c r="S17" i="11" s="1"/>
  <c r="B17" i="12" s="1"/>
  <c r="S17" i="12" s="1"/>
  <c r="B17" i="13" s="1"/>
  <c r="S17" i="13" s="1"/>
  <c r="B17" i="14" s="1"/>
  <c r="S17" i="14" s="1"/>
  <c r="B17" i="15" s="1"/>
  <c r="S17" i="15" s="1"/>
  <c r="B17" i="16" s="1"/>
  <c r="S17" i="16" s="1"/>
  <c r="B17" i="17" s="1"/>
  <c r="S17" i="17" s="1"/>
  <c r="B17" i="18" s="1"/>
  <c r="S17" i="18" s="1"/>
  <c r="B17" i="19" s="1"/>
  <c r="S17" i="19" s="1"/>
  <c r="B17" i="20" s="1"/>
  <c r="S17" i="20" s="1"/>
  <c r="B17" i="21" s="1"/>
  <c r="S17" i="21" s="1"/>
  <c r="B17" i="22" s="1"/>
  <c r="S17" i="22" s="1"/>
  <c r="B17" i="23" s="1"/>
  <c r="S17" i="23" s="1"/>
  <c r="B17" i="24" s="1"/>
  <c r="S17" i="24" s="1"/>
  <c r="B17" i="25" s="1"/>
  <c r="S17" i="25" s="1"/>
  <c r="B17" i="26" s="1"/>
  <c r="S17" i="26" s="1"/>
  <c r="B17" i="27" s="1"/>
  <c r="S17" i="27" s="1"/>
  <c r="B17" i="28" s="1"/>
  <c r="S17" i="28" s="1"/>
  <c r="B17" i="29" s="1"/>
  <c r="S17" i="29" s="1"/>
  <c r="B17" i="30" s="1"/>
  <c r="S17" i="30" s="1"/>
  <c r="B17" i="31" s="1"/>
  <c r="S17" i="31" s="1"/>
  <c r="B17" i="32" s="1"/>
  <c r="S17" i="32" s="1"/>
  <c r="B17" i="33" s="1"/>
  <c r="S17" i="33" s="1"/>
  <c r="B17" i="34" s="1"/>
  <c r="S17" i="34" s="1"/>
  <c r="B17" i="35" s="1"/>
  <c r="S17" i="35" s="1"/>
  <c r="B17" i="36" s="1"/>
  <c r="S17" i="36" s="1"/>
  <c r="B17" i="37" s="1"/>
  <c r="S17" i="37" s="1"/>
  <c r="B17" i="38" s="1"/>
  <c r="S17" i="38" s="1"/>
  <c r="B17" i="39" s="1"/>
  <c r="S17" i="39" s="1"/>
  <c r="B17" i="40" s="1"/>
  <c r="S17" i="40" s="1"/>
  <c r="B17" i="41" s="1"/>
  <c r="S17" i="41" s="1"/>
  <c r="B17" i="42" s="1"/>
  <c r="S17" i="42" s="1"/>
  <c r="B17" i="43" s="1"/>
  <c r="S17" i="43" s="1"/>
  <c r="B17" i="44" s="1"/>
  <c r="S17" i="44" s="1"/>
  <c r="B17" i="45" s="1"/>
  <c r="S17" i="45" s="1"/>
  <c r="B17" i="46" s="1"/>
  <c r="S17" i="46" s="1"/>
  <c r="B17" i="47" s="1"/>
  <c r="S17" i="47" s="1"/>
  <c r="B17" i="48" s="1"/>
  <c r="S17" i="48" s="1"/>
  <c r="B17" i="49" s="1"/>
  <c r="S17" i="49" s="1"/>
  <c r="B17" i="50" s="1"/>
  <c r="S17" i="50" s="1"/>
  <c r="B17" i="51" s="1"/>
  <c r="S17" i="51" s="1"/>
  <c r="B17" i="52" s="1"/>
  <c r="S17" i="52" s="1"/>
  <c r="B17" i="53" s="1"/>
  <c r="S17" i="53" s="1"/>
  <c r="B17" i="54" s="1"/>
  <c r="S17" i="54" s="1"/>
  <c r="B17" i="55" s="1"/>
  <c r="S17" i="55" s="1"/>
  <c r="B17" i="56" s="1"/>
  <c r="S17" i="56" s="1"/>
  <c r="B17" i="57" s="1"/>
  <c r="S17" i="57" s="1"/>
  <c r="S6" i="4"/>
  <c r="B6" i="6" s="1"/>
  <c r="S6" i="6" s="1"/>
  <c r="B6" i="7" s="1"/>
  <c r="S6" i="7" s="1"/>
  <c r="B6" i="8" s="1"/>
  <c r="S6" i="8" s="1"/>
  <c r="B6" i="9" s="1"/>
  <c r="S6" i="9" s="1"/>
  <c r="B6" i="10" s="1"/>
  <c r="S6" i="10" s="1"/>
  <c r="B6" i="11" s="1"/>
  <c r="S6" i="11" s="1"/>
  <c r="B6" i="12" s="1"/>
  <c r="S6" i="12" s="1"/>
  <c r="B6" i="13" s="1"/>
  <c r="S6" i="13" s="1"/>
  <c r="B6" i="14" s="1"/>
  <c r="S6" i="14" s="1"/>
  <c r="B6" i="15" s="1"/>
  <c r="S6" i="15" s="1"/>
  <c r="B6" i="16" s="1"/>
  <c r="S6" i="16" s="1"/>
  <c r="B6" i="17" s="1"/>
  <c r="S6" i="17" s="1"/>
  <c r="B6" i="18" s="1"/>
  <c r="S6" i="18" s="1"/>
  <c r="B6" i="19" s="1"/>
  <c r="S6" i="19" s="1"/>
  <c r="B6" i="20" s="1"/>
  <c r="S6" i="20" s="1"/>
  <c r="B6" i="21" s="1"/>
  <c r="S6" i="21" s="1"/>
  <c r="B6" i="22" s="1"/>
  <c r="S6" i="22" s="1"/>
  <c r="B6" i="23" s="1"/>
  <c r="S6" i="23" s="1"/>
  <c r="B6" i="24" s="1"/>
  <c r="S6" i="24" s="1"/>
  <c r="B6" i="25" s="1"/>
  <c r="S6" i="25" s="1"/>
  <c r="B6" i="26" s="1"/>
  <c r="S6" i="26" s="1"/>
  <c r="B6" i="27" s="1"/>
  <c r="S6" i="27" s="1"/>
  <c r="B6" i="28" s="1"/>
  <c r="S6" i="28" s="1"/>
  <c r="B6" i="29" s="1"/>
  <c r="S6" i="29" s="1"/>
  <c r="B6" i="30" s="1"/>
  <c r="S6" i="30" s="1"/>
  <c r="B6" i="31" s="1"/>
  <c r="S6" i="31" s="1"/>
  <c r="B6" i="32" s="1"/>
  <c r="S6" i="32" s="1"/>
  <c r="B6" i="33" s="1"/>
  <c r="S6" i="33" s="1"/>
  <c r="B6" i="34" s="1"/>
  <c r="S6" i="34" s="1"/>
  <c r="B6" i="35" s="1"/>
  <c r="S6" i="35" s="1"/>
  <c r="B6" i="36" s="1"/>
  <c r="S6" i="36" s="1"/>
  <c r="B6" i="37" s="1"/>
  <c r="S6" i="37" s="1"/>
  <c r="B6" i="38" s="1"/>
  <c r="S6" i="38" s="1"/>
  <c r="B6" i="39" s="1"/>
  <c r="S6" i="39" s="1"/>
  <c r="B6" i="40" s="1"/>
  <c r="S6" i="40" s="1"/>
  <c r="B6" i="41" s="1"/>
  <c r="S6" i="41" s="1"/>
  <c r="B6" i="42" s="1"/>
  <c r="S6" i="42" s="1"/>
  <c r="B6" i="43" s="1"/>
  <c r="S6" i="43" s="1"/>
  <c r="B6" i="44" s="1"/>
  <c r="S6" i="44" s="1"/>
  <c r="B6" i="45" s="1"/>
  <c r="S6" i="45" s="1"/>
  <c r="B6" i="46" s="1"/>
  <c r="S6" i="46" s="1"/>
  <c r="B6" i="47" s="1"/>
  <c r="S6" i="47" s="1"/>
  <c r="B6" i="48" s="1"/>
  <c r="S6" i="48" s="1"/>
  <c r="B6" i="49" s="1"/>
  <c r="S6" i="49" s="1"/>
  <c r="B6" i="50" s="1"/>
  <c r="S6" i="50" s="1"/>
  <c r="B6" i="51" s="1"/>
  <c r="S6" i="51" s="1"/>
  <c r="B6" i="52" s="1"/>
  <c r="S6" i="52" s="1"/>
  <c r="B6" i="53" s="1"/>
  <c r="S6" i="53" s="1"/>
  <c r="B6" i="54" s="1"/>
  <c r="S6" i="54" s="1"/>
  <c r="B6" i="55" s="1"/>
  <c r="S6" i="55" s="1"/>
  <c r="B6" i="56" s="1"/>
  <c r="S6" i="56" s="1"/>
  <c r="B6" i="57" s="1"/>
  <c r="S6" i="57" s="1"/>
  <c r="S24" i="4"/>
  <c r="B24" i="6" s="1"/>
  <c r="S24" i="6" s="1"/>
  <c r="B24" i="7" s="1"/>
  <c r="S24" i="7" s="1"/>
  <c r="B24" i="8" s="1"/>
  <c r="S24" i="8" s="1"/>
  <c r="B24" i="9" s="1"/>
  <c r="S24" i="9" s="1"/>
  <c r="B24" i="10" s="1"/>
  <c r="S24" i="10" s="1"/>
  <c r="B24" i="11" s="1"/>
  <c r="S24" i="11" s="1"/>
  <c r="B24" i="12" s="1"/>
  <c r="S24" i="12" s="1"/>
  <c r="B24" i="13" s="1"/>
  <c r="S24" i="13" s="1"/>
  <c r="B24" i="14" s="1"/>
  <c r="S24" i="14" s="1"/>
  <c r="B24" i="15" s="1"/>
  <c r="S24" i="15" s="1"/>
  <c r="B24" i="16" s="1"/>
  <c r="S24" i="16" s="1"/>
  <c r="B24" i="17" s="1"/>
  <c r="S24" i="17" s="1"/>
  <c r="B24" i="18" s="1"/>
  <c r="S24" i="18" s="1"/>
  <c r="B24" i="19" s="1"/>
  <c r="S24" i="19" s="1"/>
  <c r="B24" i="20" s="1"/>
  <c r="S24" i="20" s="1"/>
  <c r="B24" i="21" s="1"/>
  <c r="S24" i="21" s="1"/>
  <c r="B24" i="22" s="1"/>
  <c r="S24" i="22" s="1"/>
  <c r="B24" i="23" s="1"/>
  <c r="S24" i="23" s="1"/>
  <c r="B24" i="24" s="1"/>
  <c r="S24" i="24" s="1"/>
  <c r="B24" i="25" s="1"/>
  <c r="S24" i="25" s="1"/>
  <c r="B24" i="26" s="1"/>
  <c r="S24" i="26" s="1"/>
  <c r="B24" i="27" s="1"/>
  <c r="S24" i="27" s="1"/>
  <c r="B24" i="28" s="1"/>
  <c r="S24" i="28" s="1"/>
  <c r="B24" i="29" s="1"/>
  <c r="S24" i="29" s="1"/>
  <c r="B24" i="30" s="1"/>
  <c r="S24" i="30" s="1"/>
  <c r="B24" i="31" s="1"/>
  <c r="S24" i="31" s="1"/>
  <c r="B24" i="32" s="1"/>
  <c r="S24" i="32" s="1"/>
  <c r="B24" i="33" s="1"/>
  <c r="S24" i="33" s="1"/>
  <c r="B24" i="34" s="1"/>
  <c r="S24" i="34" s="1"/>
  <c r="B24" i="35" s="1"/>
  <c r="S24" i="35" s="1"/>
  <c r="B24" i="36" s="1"/>
  <c r="S24" i="36" s="1"/>
  <c r="B24" i="37" s="1"/>
  <c r="S24" i="37" s="1"/>
  <c r="B24" i="38" s="1"/>
  <c r="S24" i="38" s="1"/>
  <c r="B24" i="39" s="1"/>
  <c r="S24" i="39" s="1"/>
  <c r="B24" i="40" s="1"/>
  <c r="S24" i="40" s="1"/>
  <c r="B24" i="41" s="1"/>
  <c r="S24" i="41" s="1"/>
  <c r="B24" i="42" s="1"/>
  <c r="S24" i="42" s="1"/>
  <c r="B24" i="43" s="1"/>
  <c r="S24" i="43" s="1"/>
  <c r="B24" i="44" s="1"/>
  <c r="S24" i="44" s="1"/>
  <c r="B24" i="45" s="1"/>
  <c r="S24" i="45" s="1"/>
  <c r="B24" i="46" s="1"/>
  <c r="S24" i="46" s="1"/>
  <c r="B24" i="47" s="1"/>
  <c r="S24" i="47" s="1"/>
  <c r="B24" i="48" s="1"/>
  <c r="S24" i="48" s="1"/>
  <c r="B24" i="49" s="1"/>
  <c r="S24" i="49" s="1"/>
  <c r="B24" i="50" s="1"/>
  <c r="S24" i="50" s="1"/>
  <c r="B24" i="51" s="1"/>
  <c r="S24" i="51" s="1"/>
  <c r="B24" i="52" s="1"/>
  <c r="S24" i="52" s="1"/>
  <c r="B24" i="53" s="1"/>
  <c r="S24" i="53" s="1"/>
  <c r="B24" i="54" s="1"/>
  <c r="S24" i="54" s="1"/>
  <c r="B24" i="55" s="1"/>
  <c r="S24" i="55" s="1"/>
  <c r="B24" i="56" s="1"/>
  <c r="S24" i="56" s="1"/>
  <c r="B24" i="57" s="1"/>
  <c r="S24" i="57" s="1"/>
  <c r="S26" i="4"/>
  <c r="B26" i="6" s="1"/>
  <c r="S26" i="6" s="1"/>
  <c r="B26" i="7" s="1"/>
  <c r="S26" i="7" s="1"/>
  <c r="B26" i="8" s="1"/>
  <c r="S26" i="8" s="1"/>
  <c r="B26" i="9" s="1"/>
  <c r="S26" i="9" s="1"/>
  <c r="B26" i="10" s="1"/>
  <c r="S26" i="10" s="1"/>
  <c r="B26" i="11" s="1"/>
  <c r="S26" i="11" s="1"/>
  <c r="B26" i="12" s="1"/>
  <c r="S26" i="12" s="1"/>
  <c r="B26" i="13" s="1"/>
  <c r="S26" i="13" s="1"/>
  <c r="B26" i="14" s="1"/>
  <c r="S26" i="14" s="1"/>
  <c r="B26" i="15" s="1"/>
  <c r="S26" i="15" s="1"/>
  <c r="B26" i="16" s="1"/>
  <c r="S26" i="16" s="1"/>
  <c r="B26" i="17" s="1"/>
  <c r="S26" i="17" s="1"/>
  <c r="B26" i="18" s="1"/>
  <c r="S26" i="18" s="1"/>
  <c r="B26" i="19" s="1"/>
  <c r="S26" i="19" s="1"/>
  <c r="B26" i="20" s="1"/>
  <c r="S26" i="20" s="1"/>
  <c r="B26" i="21" s="1"/>
  <c r="S26" i="21" s="1"/>
  <c r="B26" i="22" s="1"/>
  <c r="S26" i="22" s="1"/>
  <c r="B26" i="23" s="1"/>
  <c r="S26" i="23" s="1"/>
  <c r="B26" i="24" s="1"/>
  <c r="S26" i="24" s="1"/>
  <c r="B26" i="25" s="1"/>
  <c r="S26" i="25" s="1"/>
  <c r="B26" i="26" s="1"/>
  <c r="S26" i="26" s="1"/>
  <c r="B26" i="27" s="1"/>
  <c r="S26" i="27" s="1"/>
  <c r="B26" i="28" s="1"/>
  <c r="S26" i="28" s="1"/>
  <c r="B26" i="29" s="1"/>
  <c r="S26" i="29" s="1"/>
  <c r="B26" i="30" s="1"/>
  <c r="S26" i="30" s="1"/>
  <c r="B26" i="31" s="1"/>
  <c r="S26" i="31" s="1"/>
  <c r="B26" i="32" s="1"/>
  <c r="S26" i="32" s="1"/>
  <c r="B26" i="33" s="1"/>
  <c r="S26" i="33" s="1"/>
  <c r="B26" i="34" s="1"/>
  <c r="S26" i="34" s="1"/>
  <c r="B26" i="35" s="1"/>
  <c r="S26" i="35" s="1"/>
  <c r="B26" i="36" s="1"/>
  <c r="S26" i="36" s="1"/>
  <c r="B26" i="37" s="1"/>
  <c r="S26" i="37" s="1"/>
  <c r="B26" i="38" s="1"/>
  <c r="S26" i="38" s="1"/>
  <c r="B26" i="39" s="1"/>
  <c r="S26" i="39" s="1"/>
  <c r="B26" i="40" s="1"/>
  <c r="S26" i="40" s="1"/>
  <c r="B26" i="41" s="1"/>
  <c r="S26" i="41" s="1"/>
  <c r="B26" i="42" s="1"/>
  <c r="S26" i="42" s="1"/>
  <c r="B26" i="43" s="1"/>
  <c r="S26" i="43" s="1"/>
  <c r="B26" i="44" s="1"/>
  <c r="S26" i="44" s="1"/>
  <c r="B26" i="45" s="1"/>
  <c r="S26" i="45" s="1"/>
  <c r="B26" i="46" s="1"/>
  <c r="S26" i="46" s="1"/>
  <c r="B26" i="47" s="1"/>
  <c r="S26" i="47" s="1"/>
  <c r="B26" i="48" s="1"/>
  <c r="S26" i="48" s="1"/>
  <c r="B26" i="49" s="1"/>
  <c r="S26" i="49" s="1"/>
  <c r="B26" i="50" s="1"/>
  <c r="S26" i="50" s="1"/>
  <c r="B26" i="51" s="1"/>
  <c r="S26" i="51" s="1"/>
  <c r="B26" i="52" s="1"/>
  <c r="S26" i="52" s="1"/>
  <c r="B26" i="53" s="1"/>
  <c r="S26" i="53" s="1"/>
  <c r="B26" i="54" s="1"/>
  <c r="S26" i="54" s="1"/>
  <c r="B26" i="55" s="1"/>
  <c r="S26" i="55" s="1"/>
  <c r="B26" i="56" s="1"/>
  <c r="S26" i="56" s="1"/>
  <c r="B26" i="57" s="1"/>
  <c r="S26" i="57" s="1"/>
  <c r="S9" i="4"/>
  <c r="B9" i="6" s="1"/>
  <c r="S9" i="6" s="1"/>
  <c r="B9" i="7" s="1"/>
  <c r="S9" i="7" s="1"/>
  <c r="B9" i="8" s="1"/>
  <c r="S9" i="8" s="1"/>
  <c r="B9" i="9" s="1"/>
  <c r="S9" i="9" s="1"/>
  <c r="B9" i="10" s="1"/>
  <c r="S9" i="10" s="1"/>
  <c r="B9" i="11" s="1"/>
  <c r="S9" i="11" s="1"/>
  <c r="B9" i="12" s="1"/>
  <c r="S9" i="12" s="1"/>
  <c r="B9" i="13" s="1"/>
  <c r="S9" i="13" s="1"/>
  <c r="B9" i="14" s="1"/>
  <c r="S9" i="14" s="1"/>
  <c r="B9" i="15" s="1"/>
  <c r="S9" i="15" s="1"/>
  <c r="B9" i="16" s="1"/>
  <c r="S9" i="16" s="1"/>
  <c r="B9" i="17" s="1"/>
  <c r="S9" i="17" s="1"/>
  <c r="B9" i="18" s="1"/>
  <c r="S9" i="18" s="1"/>
  <c r="B9" i="19" s="1"/>
  <c r="S9" i="19" s="1"/>
  <c r="B9" i="20" s="1"/>
  <c r="S9" i="20" s="1"/>
  <c r="B9" i="21" s="1"/>
  <c r="S9" i="21" s="1"/>
  <c r="B9" i="22" s="1"/>
  <c r="S9" i="22" s="1"/>
  <c r="B9" i="23" s="1"/>
  <c r="S9" i="23" s="1"/>
  <c r="B9" i="24" s="1"/>
  <c r="S9" i="24" s="1"/>
  <c r="B9" i="25" s="1"/>
  <c r="S9" i="25" s="1"/>
  <c r="B9" i="26" s="1"/>
  <c r="S9" i="26" s="1"/>
  <c r="B9" i="27" s="1"/>
  <c r="S9" i="27" s="1"/>
  <c r="B9" i="28" s="1"/>
  <c r="S9" i="28" s="1"/>
  <c r="B9" i="29" s="1"/>
  <c r="S9" i="29" s="1"/>
  <c r="B9" i="30" s="1"/>
  <c r="S9" i="30" s="1"/>
  <c r="B9" i="31" s="1"/>
  <c r="S9" i="31" s="1"/>
  <c r="B9" i="32" s="1"/>
  <c r="S9" i="32" s="1"/>
  <c r="B9" i="33" s="1"/>
  <c r="S9" i="33" s="1"/>
  <c r="B9" i="34" s="1"/>
  <c r="S9" i="34" s="1"/>
  <c r="B9" i="35" s="1"/>
  <c r="S9" i="35" s="1"/>
  <c r="B9" i="36" s="1"/>
  <c r="S9" i="36" s="1"/>
  <c r="B9" i="37" s="1"/>
  <c r="S9" i="37" s="1"/>
  <c r="B9" i="38" s="1"/>
  <c r="S9" i="38" s="1"/>
  <c r="B9" i="39" s="1"/>
  <c r="S9" i="39" s="1"/>
  <c r="B9" i="40" s="1"/>
  <c r="S9" i="40" s="1"/>
  <c r="B9" i="41" s="1"/>
  <c r="S9" i="41" s="1"/>
  <c r="B9" i="42" s="1"/>
  <c r="S9" i="42" s="1"/>
  <c r="B9" i="43" s="1"/>
  <c r="S9" i="43" s="1"/>
  <c r="B9" i="44" s="1"/>
  <c r="S9" i="44" s="1"/>
  <c r="B9" i="45" s="1"/>
  <c r="S9" i="45" s="1"/>
  <c r="B9" i="46" s="1"/>
  <c r="S9" i="46" s="1"/>
  <c r="B9" i="47" s="1"/>
  <c r="S9" i="47" s="1"/>
  <c r="B9" i="48" s="1"/>
  <c r="S9" i="48" s="1"/>
  <c r="B9" i="49" s="1"/>
  <c r="S9" i="49" s="1"/>
  <c r="B9" i="50" s="1"/>
  <c r="S9" i="50" s="1"/>
  <c r="B9" i="51" s="1"/>
  <c r="S9" i="51" s="1"/>
  <c r="B9" i="52" s="1"/>
  <c r="S9" i="52" s="1"/>
  <c r="B9" i="53" s="1"/>
  <c r="S9" i="53" s="1"/>
  <c r="B9" i="54" s="1"/>
  <c r="S9" i="54" s="1"/>
  <c r="B9" i="55" s="1"/>
  <c r="S9" i="55" s="1"/>
  <c r="B9" i="56" s="1"/>
  <c r="S9" i="56" s="1"/>
  <c r="B9" i="57" s="1"/>
  <c r="S9" i="57" s="1"/>
  <c r="S22" i="4"/>
  <c r="B22" i="6" s="1"/>
  <c r="S7" i="4"/>
  <c r="B7" i="6" s="1"/>
  <c r="S7" i="6" s="1"/>
  <c r="B7" i="7" s="1"/>
  <c r="S7" i="7" s="1"/>
  <c r="B7" i="8" s="1"/>
  <c r="S7" i="8" s="1"/>
  <c r="B7" i="9" s="1"/>
  <c r="S7" i="9" s="1"/>
  <c r="B7" i="10" s="1"/>
  <c r="S7" i="10" s="1"/>
  <c r="B7" i="11" s="1"/>
  <c r="S7" i="11" s="1"/>
  <c r="B7" i="12" s="1"/>
  <c r="S7" i="12" s="1"/>
  <c r="B7" i="13" s="1"/>
  <c r="S7" i="13" s="1"/>
  <c r="B7" i="14" s="1"/>
  <c r="S7" i="14" s="1"/>
  <c r="B7" i="15" s="1"/>
  <c r="S7" i="15" s="1"/>
  <c r="B7" i="16" s="1"/>
  <c r="S7" i="16" s="1"/>
  <c r="B7" i="17" s="1"/>
  <c r="S7" i="17" s="1"/>
  <c r="B7" i="18" s="1"/>
  <c r="S7" i="18" s="1"/>
  <c r="B7" i="19" s="1"/>
  <c r="S7" i="19" s="1"/>
  <c r="B7" i="20" s="1"/>
  <c r="S7" i="20" s="1"/>
  <c r="B7" i="21" s="1"/>
  <c r="S7" i="21" s="1"/>
  <c r="B7" i="22" s="1"/>
  <c r="S7" i="22" s="1"/>
  <c r="B7" i="23" s="1"/>
  <c r="S7" i="23" s="1"/>
  <c r="B7" i="24" s="1"/>
  <c r="S7" i="24" s="1"/>
  <c r="B7" i="25" s="1"/>
  <c r="S7" i="25" s="1"/>
  <c r="B7" i="26" s="1"/>
  <c r="S7" i="26" s="1"/>
  <c r="B7" i="27" s="1"/>
  <c r="S7" i="27" s="1"/>
  <c r="B7" i="28" s="1"/>
  <c r="S7" i="28" s="1"/>
  <c r="B7" i="29" s="1"/>
  <c r="S7" i="29" s="1"/>
  <c r="B7" i="30" s="1"/>
  <c r="S7" i="30" s="1"/>
  <c r="B7" i="31" s="1"/>
  <c r="S7" i="31" s="1"/>
  <c r="B7" i="32" s="1"/>
  <c r="S7" i="32" s="1"/>
  <c r="B7" i="33" s="1"/>
  <c r="S7" i="33" s="1"/>
  <c r="B7" i="34" s="1"/>
  <c r="S7" i="34" s="1"/>
  <c r="B7" i="35" s="1"/>
  <c r="S7" i="35" s="1"/>
  <c r="B7" i="36" s="1"/>
  <c r="S7" i="36" s="1"/>
  <c r="B7" i="37" s="1"/>
  <c r="S7" i="37" s="1"/>
  <c r="B7" i="38" s="1"/>
  <c r="S7" i="38" s="1"/>
  <c r="B7" i="39" s="1"/>
  <c r="S7" i="39" s="1"/>
  <c r="B7" i="40" s="1"/>
  <c r="S7" i="40" s="1"/>
  <c r="B7" i="41" s="1"/>
  <c r="S7" i="41" s="1"/>
  <c r="B7" i="42" s="1"/>
  <c r="S7" i="42" s="1"/>
  <c r="B7" i="43" s="1"/>
  <c r="S7" i="43" s="1"/>
  <c r="B7" i="44" s="1"/>
  <c r="S7" i="44" s="1"/>
  <c r="B7" i="45" s="1"/>
  <c r="S7" i="45" s="1"/>
  <c r="B7" i="46" s="1"/>
  <c r="S7" i="46" s="1"/>
  <c r="B7" i="47" s="1"/>
  <c r="S7" i="47" s="1"/>
  <c r="B7" i="48" s="1"/>
  <c r="S7" i="48" s="1"/>
  <c r="B7" i="49" s="1"/>
  <c r="S7" i="49" s="1"/>
  <c r="B7" i="50" s="1"/>
  <c r="S7" i="50" s="1"/>
  <c r="B7" i="51" s="1"/>
  <c r="S7" i="51" s="1"/>
  <c r="B7" i="52" s="1"/>
  <c r="S7" i="52" s="1"/>
  <c r="B7" i="53" s="1"/>
  <c r="S7" i="53" s="1"/>
  <c r="B7" i="54" s="1"/>
  <c r="S7" i="54" s="1"/>
  <c r="B7" i="55" s="1"/>
  <c r="S7" i="55" s="1"/>
  <c r="B7" i="56" s="1"/>
  <c r="S7" i="56" s="1"/>
  <c r="B7" i="57" s="1"/>
  <c r="S7" i="57" s="1"/>
  <c r="S5" i="4"/>
  <c r="B31" i="4"/>
  <c r="S10" i="4"/>
  <c r="B10" i="6" s="1"/>
  <c r="S10" i="6" s="1"/>
  <c r="B10" i="7" s="1"/>
  <c r="S10" i="7" s="1"/>
  <c r="B10" i="8" s="1"/>
  <c r="S10" i="8" s="1"/>
  <c r="B10" i="9" s="1"/>
  <c r="S10" i="9" s="1"/>
  <c r="B10" i="10" s="1"/>
  <c r="S10" i="10" s="1"/>
  <c r="B10" i="11" s="1"/>
  <c r="S10" i="11" s="1"/>
  <c r="B10" i="12" s="1"/>
  <c r="S10" i="12" s="1"/>
  <c r="B10" i="13" s="1"/>
  <c r="S10" i="13" s="1"/>
  <c r="B10" i="14" s="1"/>
  <c r="S10" i="14" s="1"/>
  <c r="B10" i="15" s="1"/>
  <c r="S10" i="15" s="1"/>
  <c r="B10" i="16" s="1"/>
  <c r="S10" i="16" s="1"/>
  <c r="B10" i="17" s="1"/>
  <c r="S10" i="17" s="1"/>
  <c r="B10" i="18" s="1"/>
  <c r="S10" i="18" s="1"/>
  <c r="B10" i="19" s="1"/>
  <c r="S10" i="19" s="1"/>
  <c r="B10" i="20" s="1"/>
  <c r="S10" i="20" s="1"/>
  <c r="B10" i="21" s="1"/>
  <c r="S10" i="21" s="1"/>
  <c r="B10" i="22" s="1"/>
  <c r="S10" i="22" s="1"/>
  <c r="B10" i="23" s="1"/>
  <c r="S10" i="23" s="1"/>
  <c r="B10" i="24" s="1"/>
  <c r="S10" i="24" s="1"/>
  <c r="B10" i="25" s="1"/>
  <c r="S10" i="25" s="1"/>
  <c r="B10" i="26" s="1"/>
  <c r="S10" i="26" s="1"/>
  <c r="B10" i="27" s="1"/>
  <c r="S10" i="27" s="1"/>
  <c r="B10" i="28" s="1"/>
  <c r="S10" i="28" s="1"/>
  <c r="B10" i="29" s="1"/>
  <c r="S10" i="29" s="1"/>
  <c r="B10" i="30" s="1"/>
  <c r="S10" i="30" s="1"/>
  <c r="B10" i="31" s="1"/>
  <c r="S10" i="31" s="1"/>
  <c r="B10" i="32" s="1"/>
  <c r="S10" i="32" s="1"/>
  <c r="B10" i="33" s="1"/>
  <c r="S10" i="33" s="1"/>
  <c r="B10" i="34" s="1"/>
  <c r="S10" i="34" s="1"/>
  <c r="B10" i="35" s="1"/>
  <c r="S10" i="35" s="1"/>
  <c r="B10" i="36" s="1"/>
  <c r="S10" i="36" s="1"/>
  <c r="B10" i="37" s="1"/>
  <c r="S10" i="37" s="1"/>
  <c r="B10" i="38" s="1"/>
  <c r="S10" i="38" s="1"/>
  <c r="B10" i="39" s="1"/>
  <c r="S10" i="39" s="1"/>
  <c r="B10" i="40" s="1"/>
  <c r="S10" i="40" s="1"/>
  <c r="B10" i="41" s="1"/>
  <c r="S10" i="41" s="1"/>
  <c r="B10" i="42" s="1"/>
  <c r="S10" i="42" s="1"/>
  <c r="B10" i="43" s="1"/>
  <c r="S10" i="43" s="1"/>
  <c r="B10" i="44" s="1"/>
  <c r="S10" i="44" s="1"/>
  <c r="B10" i="45" s="1"/>
  <c r="S10" i="45" s="1"/>
  <c r="B10" i="46" s="1"/>
  <c r="S10" i="46" s="1"/>
  <c r="B10" i="47" s="1"/>
  <c r="S10" i="47" s="1"/>
  <c r="B10" i="48" s="1"/>
  <c r="S10" i="48" s="1"/>
  <c r="B10" i="49" s="1"/>
  <c r="S10" i="49" s="1"/>
  <c r="B10" i="50" s="1"/>
  <c r="S10" i="50" s="1"/>
  <c r="B10" i="51" s="1"/>
  <c r="S10" i="51" s="1"/>
  <c r="B10" i="52" s="1"/>
  <c r="S10" i="52" s="1"/>
  <c r="B10" i="53" s="1"/>
  <c r="S10" i="53" s="1"/>
  <c r="B10" i="54" s="1"/>
  <c r="S10" i="54" s="1"/>
  <c r="B10" i="55" s="1"/>
  <c r="S10" i="55" s="1"/>
  <c r="B10" i="56" s="1"/>
  <c r="S10" i="56" s="1"/>
  <c r="B10" i="57" s="1"/>
  <c r="S10" i="57" s="1"/>
  <c r="S18" i="4" l="1"/>
  <c r="B5" i="6"/>
  <c r="S22" i="6"/>
  <c r="S20" i="4"/>
  <c r="B18" i="4"/>
  <c r="B33" i="4" s="1"/>
  <c r="S33" i="4" l="1"/>
  <c r="S36" i="4" s="1"/>
  <c r="S31" i="4"/>
  <c r="B20" i="6"/>
  <c r="B22" i="7"/>
  <c r="B18" i="6"/>
  <c r="S5" i="6"/>
  <c r="S18" i="6" l="1"/>
  <c r="B5" i="7"/>
  <c r="S22" i="7"/>
  <c r="B31" i="6"/>
  <c r="S20" i="6"/>
  <c r="B33" i="6"/>
  <c r="S31" i="6" l="1"/>
  <c r="B20" i="7"/>
  <c r="S33" i="6"/>
  <c r="S36" i="6" s="1"/>
  <c r="B18" i="7"/>
  <c r="S5" i="7"/>
  <c r="B22" i="8"/>
  <c r="S22" i="8" l="1"/>
  <c r="S18" i="7"/>
  <c r="B5" i="8"/>
  <c r="B31" i="7"/>
  <c r="S20" i="7"/>
  <c r="B33" i="7"/>
  <c r="S31" i="7" l="1"/>
  <c r="B20" i="8"/>
  <c r="S33" i="7"/>
  <c r="S36" i="7" s="1"/>
  <c r="B18" i="8"/>
  <c r="S5" i="8"/>
  <c r="B22" i="9"/>
  <c r="S22" i="9" l="1"/>
  <c r="S18" i="8"/>
  <c r="B5" i="9"/>
  <c r="B31" i="8"/>
  <c r="S20" i="8"/>
  <c r="B33" i="8"/>
  <c r="S31" i="8" l="1"/>
  <c r="B20" i="9"/>
  <c r="S33" i="8"/>
  <c r="S36" i="8" s="1"/>
  <c r="B18" i="9"/>
  <c r="S5" i="9"/>
  <c r="B22" i="10"/>
  <c r="S22" i="10" l="1"/>
  <c r="S18" i="9"/>
  <c r="B5" i="10"/>
  <c r="B31" i="9"/>
  <c r="S20" i="9"/>
  <c r="B33" i="9"/>
  <c r="S31" i="9" l="1"/>
  <c r="B20" i="10"/>
  <c r="S33" i="9"/>
  <c r="S36" i="9" s="1"/>
  <c r="B18" i="10"/>
  <c r="S5" i="10"/>
  <c r="B22" i="11"/>
  <c r="S22" i="11" l="1"/>
  <c r="S18" i="10"/>
  <c r="B5" i="11"/>
  <c r="B31" i="10"/>
  <c r="S20" i="10"/>
  <c r="B33" i="10"/>
  <c r="S31" i="10" l="1"/>
  <c r="B20" i="11"/>
  <c r="S33" i="10"/>
  <c r="S36" i="10" s="1"/>
  <c r="B18" i="11"/>
  <c r="S5" i="11"/>
  <c r="B22" i="12"/>
  <c r="S22" i="12" l="1"/>
  <c r="S18" i="11"/>
  <c r="B5" i="12"/>
  <c r="B31" i="11"/>
  <c r="S20" i="11"/>
  <c r="B33" i="11"/>
  <c r="S31" i="11" l="1"/>
  <c r="B20" i="12"/>
  <c r="S33" i="11"/>
  <c r="S36" i="11" s="1"/>
  <c r="B18" i="12"/>
  <c r="S5" i="12"/>
  <c r="B22" i="13"/>
  <c r="S22" i="13" l="1"/>
  <c r="S18" i="12"/>
  <c r="B5" i="13"/>
  <c r="B31" i="12"/>
  <c r="S20" i="12"/>
  <c r="B33" i="12"/>
  <c r="S31" i="12" l="1"/>
  <c r="B20" i="13"/>
  <c r="S33" i="12"/>
  <c r="S36" i="12" s="1"/>
  <c r="B18" i="13"/>
  <c r="S5" i="13"/>
  <c r="B22" i="14"/>
  <c r="S22" i="14" l="1"/>
  <c r="S18" i="13"/>
  <c r="B5" i="14"/>
  <c r="B31" i="13"/>
  <c r="S20" i="13"/>
  <c r="B33" i="13"/>
  <c r="S31" i="13" l="1"/>
  <c r="B20" i="14"/>
  <c r="S33" i="13"/>
  <c r="S36" i="13" s="1"/>
  <c r="B18" i="14"/>
  <c r="S5" i="14"/>
  <c r="B22" i="15"/>
  <c r="S22" i="15" l="1"/>
  <c r="B5" i="15"/>
  <c r="S18" i="14"/>
  <c r="B31" i="14"/>
  <c r="S20" i="14"/>
  <c r="B33" i="14"/>
  <c r="S31" i="14" l="1"/>
  <c r="B20" i="15"/>
  <c r="S33" i="14"/>
  <c r="S36" i="14" s="1"/>
  <c r="B18" i="15"/>
  <c r="S5" i="15"/>
  <c r="B22" i="16"/>
  <c r="B31" i="15" l="1"/>
  <c r="S20" i="15"/>
  <c r="B33" i="15"/>
  <c r="S22" i="16"/>
  <c r="S18" i="15"/>
  <c r="B5" i="16"/>
  <c r="S5" i="16" l="1"/>
  <c r="B18" i="16"/>
  <c r="S31" i="15"/>
  <c r="B20" i="16"/>
  <c r="S33" i="15"/>
  <c r="S36" i="15" s="1"/>
  <c r="B22" i="17"/>
  <c r="S22" i="17" l="1"/>
  <c r="B31" i="16"/>
  <c r="S20" i="16"/>
  <c r="B33" i="16"/>
  <c r="S18" i="16"/>
  <c r="B5" i="17"/>
  <c r="B22" i="18" l="1"/>
  <c r="B18" i="17"/>
  <c r="S5" i="17"/>
  <c r="B20" i="17"/>
  <c r="S31" i="16"/>
  <c r="S33" i="16"/>
  <c r="S36" i="16" s="1"/>
  <c r="B31" i="17" l="1"/>
  <c r="S20" i="17"/>
  <c r="B33" i="17"/>
  <c r="S22" i="18"/>
  <c r="S18" i="17"/>
  <c r="B5" i="18"/>
  <c r="B22" i="19" l="1"/>
  <c r="B18" i="18"/>
  <c r="S5" i="18"/>
  <c r="S31" i="17"/>
  <c r="B20" i="18"/>
  <c r="S33" i="17"/>
  <c r="S36" i="17" s="1"/>
  <c r="B5" i="19" l="1"/>
  <c r="S18" i="18"/>
  <c r="S20" i="18"/>
  <c r="B31" i="18"/>
  <c r="B33" i="18"/>
  <c r="S22" i="19"/>
  <c r="B22" i="20" l="1"/>
  <c r="S31" i="18"/>
  <c r="B20" i="19"/>
  <c r="S33" i="18"/>
  <c r="S36" i="18" s="1"/>
  <c r="B18" i="19"/>
  <c r="S5" i="19"/>
  <c r="B31" i="19" l="1"/>
  <c r="S20" i="19"/>
  <c r="B33" i="19"/>
  <c r="S18" i="19"/>
  <c r="B5" i="20"/>
  <c r="S22" i="20"/>
  <c r="B22" i="21" l="1"/>
  <c r="S31" i="19"/>
  <c r="B20" i="20"/>
  <c r="S33" i="19"/>
  <c r="S36" i="19" s="1"/>
  <c r="B18" i="20"/>
  <c r="S5" i="20"/>
  <c r="S18" i="20" l="1"/>
  <c r="B5" i="21"/>
  <c r="B31" i="20"/>
  <c r="S20" i="20"/>
  <c r="B33" i="20"/>
  <c r="S22" i="21"/>
  <c r="B22" i="22" l="1"/>
  <c r="B20" i="21"/>
  <c r="S31" i="20"/>
  <c r="S33" i="20"/>
  <c r="S36" i="20" s="1"/>
  <c r="B18" i="21"/>
  <c r="S5" i="21"/>
  <c r="S22" i="22" l="1"/>
  <c r="S18" i="21"/>
  <c r="B5" i="22"/>
  <c r="B31" i="21"/>
  <c r="S20" i="21"/>
  <c r="B33" i="21"/>
  <c r="B18" i="22" l="1"/>
  <c r="S5" i="22"/>
  <c r="B22" i="23"/>
  <c r="S31" i="21"/>
  <c r="B20" i="22"/>
  <c r="S33" i="21"/>
  <c r="S36" i="21" s="1"/>
  <c r="S20" i="22" l="1"/>
  <c r="B31" i="22"/>
  <c r="B33" i="22"/>
  <c r="S22" i="23"/>
  <c r="B5" i="23"/>
  <c r="S18" i="22"/>
  <c r="B18" i="23" l="1"/>
  <c r="S5" i="23"/>
  <c r="B22" i="24"/>
  <c r="S31" i="22"/>
  <c r="B20" i="23"/>
  <c r="S33" i="22"/>
  <c r="S36" i="22" s="1"/>
  <c r="B31" i="23" l="1"/>
  <c r="S20" i="23"/>
  <c r="B33" i="23"/>
  <c r="S22" i="24"/>
  <c r="S18" i="23"/>
  <c r="B5" i="24"/>
  <c r="B22" i="25" l="1"/>
  <c r="B18" i="24"/>
  <c r="S5" i="24"/>
  <c r="S31" i="23"/>
  <c r="B20" i="24"/>
  <c r="S33" i="23"/>
  <c r="S36" i="23" s="1"/>
  <c r="S18" i="24" l="1"/>
  <c r="B5" i="25"/>
  <c r="B31" i="24"/>
  <c r="S20" i="24"/>
  <c r="B33" i="24"/>
  <c r="S22" i="25"/>
  <c r="B22" i="26" l="1"/>
  <c r="S31" i="24"/>
  <c r="B20" i="25"/>
  <c r="S33" i="24"/>
  <c r="S36" i="24" s="1"/>
  <c r="B18" i="25"/>
  <c r="S5" i="25"/>
  <c r="S18" i="25" l="1"/>
  <c r="B5" i="26"/>
  <c r="B31" i="25"/>
  <c r="S20" i="25"/>
  <c r="B33" i="25"/>
  <c r="S22" i="26"/>
  <c r="B22" i="27" l="1"/>
  <c r="S31" i="25"/>
  <c r="B20" i="26"/>
  <c r="S33" i="25"/>
  <c r="S36" i="25" s="1"/>
  <c r="B18" i="26"/>
  <c r="S5" i="26"/>
  <c r="B5" i="27" l="1"/>
  <c r="S18" i="26"/>
  <c r="S20" i="26"/>
  <c r="B31" i="26"/>
  <c r="B33" i="26"/>
  <c r="S22" i="27"/>
  <c r="B22" i="28" l="1"/>
  <c r="S31" i="26"/>
  <c r="B20" i="27"/>
  <c r="S33" i="26"/>
  <c r="S36" i="26" s="1"/>
  <c r="B18" i="27"/>
  <c r="S5" i="27"/>
  <c r="S18" i="27" l="1"/>
  <c r="B5" i="28"/>
  <c r="B31" i="27"/>
  <c r="S20" i="27"/>
  <c r="B33" i="27"/>
  <c r="S22" i="28"/>
  <c r="S31" i="27" l="1"/>
  <c r="B20" i="28"/>
  <c r="S33" i="27"/>
  <c r="S36" i="27" s="1"/>
  <c r="B18" i="28"/>
  <c r="S5" i="28"/>
  <c r="B22" i="29"/>
  <c r="S22" i="29" l="1"/>
  <c r="S18" i="28"/>
  <c r="B5" i="29"/>
  <c r="B31" i="28"/>
  <c r="S20" i="28"/>
  <c r="B33" i="28"/>
  <c r="S31" i="28" l="1"/>
  <c r="B20" i="29"/>
  <c r="S33" i="28"/>
  <c r="S36" i="28" s="1"/>
  <c r="B22" i="30"/>
  <c r="B18" i="29"/>
  <c r="S5" i="29"/>
  <c r="B31" i="29" l="1"/>
  <c r="S20" i="29"/>
  <c r="B33" i="29"/>
  <c r="S18" i="29"/>
  <c r="B5" i="30"/>
  <c r="S22" i="30"/>
  <c r="B22" i="31" l="1"/>
  <c r="B18" i="30"/>
  <c r="S5" i="30"/>
  <c r="S31" i="29"/>
  <c r="B20" i="30"/>
  <c r="S33" i="29"/>
  <c r="S36" i="29" s="1"/>
  <c r="S20" i="30" l="1"/>
  <c r="B31" i="30"/>
  <c r="B33" i="30"/>
  <c r="B5" i="31"/>
  <c r="S18" i="30"/>
  <c r="S22" i="31"/>
  <c r="B22" i="32" l="1"/>
  <c r="B18" i="31"/>
  <c r="S5" i="31"/>
  <c r="S31" i="30"/>
  <c r="B20" i="31"/>
  <c r="S33" i="30"/>
  <c r="S36" i="30" s="1"/>
  <c r="B31" i="31" l="1"/>
  <c r="S20" i="31"/>
  <c r="B33" i="31"/>
  <c r="S18" i="31"/>
  <c r="B5" i="32"/>
  <c r="S22" i="32"/>
  <c r="B22" i="33" l="1"/>
  <c r="B18" i="32"/>
  <c r="S5" i="32"/>
  <c r="S31" i="31"/>
  <c r="B20" i="32"/>
  <c r="S33" i="31"/>
  <c r="S36" i="31" s="1"/>
  <c r="B31" i="32" l="1"/>
  <c r="S20" i="32"/>
  <c r="B33" i="32"/>
  <c r="S18" i="32"/>
  <c r="B5" i="33"/>
  <c r="S22" i="33"/>
  <c r="B22" i="34" l="1"/>
  <c r="B18" i="33"/>
  <c r="S5" i="33"/>
  <c r="S31" i="32"/>
  <c r="B20" i="33"/>
  <c r="S33" i="32"/>
  <c r="S36" i="32" s="1"/>
  <c r="B31" i="33" l="1"/>
  <c r="S20" i="33"/>
  <c r="B33" i="33"/>
  <c r="S18" i="33"/>
  <c r="B5" i="34"/>
  <c r="S22" i="34"/>
  <c r="B22" i="35" l="1"/>
  <c r="B18" i="34"/>
  <c r="S5" i="34"/>
  <c r="S31" i="33"/>
  <c r="B20" i="34"/>
  <c r="S33" i="33"/>
  <c r="S36" i="33" s="1"/>
  <c r="S20" i="34" l="1"/>
  <c r="B31" i="34"/>
  <c r="B33" i="34"/>
  <c r="B5" i="35"/>
  <c r="S18" i="34"/>
  <c r="S22" i="35"/>
  <c r="B18" i="35" l="1"/>
  <c r="S5" i="35"/>
  <c r="B22" i="36"/>
  <c r="S31" i="34"/>
  <c r="B20" i="35"/>
  <c r="S33" i="34"/>
  <c r="S36" i="34" s="1"/>
  <c r="S22" i="36" l="1"/>
  <c r="B31" i="35"/>
  <c r="S20" i="35"/>
  <c r="B33" i="35"/>
  <c r="S18" i="35"/>
  <c r="B5" i="36"/>
  <c r="B18" i="36" l="1"/>
  <c r="S5" i="36"/>
  <c r="S31" i="35"/>
  <c r="B20" i="36"/>
  <c r="S33" i="35"/>
  <c r="S36" i="35" s="1"/>
  <c r="B22" i="37"/>
  <c r="B31" i="36" l="1"/>
  <c r="S20" i="36"/>
  <c r="B33" i="36"/>
  <c r="S18" i="36"/>
  <c r="B5" i="37"/>
  <c r="S22" i="37"/>
  <c r="B22" i="38" l="1"/>
  <c r="B18" i="37"/>
  <c r="S5" i="37"/>
  <c r="B20" i="37"/>
  <c r="S31" i="36"/>
  <c r="S33" i="36"/>
  <c r="S36" i="36" s="1"/>
  <c r="S18" i="37" l="1"/>
  <c r="B5" i="38"/>
  <c r="B31" i="37"/>
  <c r="S20" i="37"/>
  <c r="B33" i="37"/>
  <c r="S22" i="38"/>
  <c r="B22" i="39" l="1"/>
  <c r="S31" i="37"/>
  <c r="B20" i="38"/>
  <c r="S33" i="37"/>
  <c r="S36" i="37" s="1"/>
  <c r="B18" i="38"/>
  <c r="S5" i="38"/>
  <c r="S18" i="38" l="1"/>
  <c r="B5" i="39"/>
  <c r="S20" i="38"/>
  <c r="B31" i="38"/>
  <c r="B33" i="38"/>
  <c r="S22" i="39"/>
  <c r="B18" i="39" l="1"/>
  <c r="S5" i="39"/>
  <c r="B22" i="40"/>
  <c r="S31" i="38"/>
  <c r="B20" i="39"/>
  <c r="S33" i="38"/>
  <c r="S36" i="38" s="1"/>
  <c r="S22" i="40" l="1"/>
  <c r="B31" i="39"/>
  <c r="S20" i="39"/>
  <c r="B33" i="39"/>
  <c r="B5" i="40"/>
  <c r="S18" i="39"/>
  <c r="B22" i="41" l="1"/>
  <c r="B18" i="40"/>
  <c r="S5" i="40"/>
  <c r="S31" i="39"/>
  <c r="B20" i="40"/>
  <c r="S33" i="39"/>
  <c r="S36" i="39" s="1"/>
  <c r="B31" i="40" l="1"/>
  <c r="S20" i="40"/>
  <c r="B33" i="40"/>
  <c r="S18" i="40"/>
  <c r="B5" i="41"/>
  <c r="S22" i="41"/>
  <c r="B22" i="42" l="1"/>
  <c r="B18" i="41"/>
  <c r="S5" i="41"/>
  <c r="S31" i="40"/>
  <c r="B20" i="41"/>
  <c r="S33" i="40"/>
  <c r="S36" i="40" s="1"/>
  <c r="B31" i="41" l="1"/>
  <c r="S20" i="41"/>
  <c r="B33" i="41"/>
  <c r="S18" i="41"/>
  <c r="B5" i="42"/>
  <c r="S22" i="42"/>
  <c r="B22" i="43" l="1"/>
  <c r="B18" i="42"/>
  <c r="S5" i="42"/>
  <c r="S31" i="41"/>
  <c r="B20" i="42"/>
  <c r="S33" i="41"/>
  <c r="S36" i="41" s="1"/>
  <c r="S20" i="42" l="1"/>
  <c r="B31" i="42"/>
  <c r="B33" i="42"/>
  <c r="S18" i="42"/>
  <c r="B5" i="43"/>
  <c r="S22" i="43"/>
  <c r="B22" i="44" l="1"/>
  <c r="B18" i="43"/>
  <c r="S5" i="43"/>
  <c r="S31" i="42"/>
  <c r="B20" i="43"/>
  <c r="S33" i="42"/>
  <c r="S36" i="42" s="1"/>
  <c r="B31" i="43" l="1"/>
  <c r="S20" i="43"/>
  <c r="B33" i="43"/>
  <c r="B5" i="44"/>
  <c r="S18" i="43"/>
  <c r="S22" i="44"/>
  <c r="B22" i="45" l="1"/>
  <c r="B18" i="44"/>
  <c r="S5" i="44"/>
  <c r="S31" i="43"/>
  <c r="B20" i="44"/>
  <c r="S33" i="43"/>
  <c r="S36" i="43" s="1"/>
  <c r="B31" i="44" l="1"/>
  <c r="S20" i="44"/>
  <c r="B33" i="44"/>
  <c r="S18" i="44"/>
  <c r="B5" i="45"/>
  <c r="S22" i="45"/>
  <c r="B22" i="46" l="1"/>
  <c r="B18" i="45"/>
  <c r="S5" i="45"/>
  <c r="S31" i="44"/>
  <c r="B20" i="45"/>
  <c r="S33" i="44"/>
  <c r="S36" i="44" s="1"/>
  <c r="B31" i="45" l="1"/>
  <c r="S20" i="45"/>
  <c r="B33" i="45"/>
  <c r="S18" i="45"/>
  <c r="B5" i="46"/>
  <c r="S22" i="46"/>
  <c r="B22" i="47" l="1"/>
  <c r="B18" i="46"/>
  <c r="S5" i="46"/>
  <c r="S31" i="45"/>
  <c r="B20" i="46"/>
  <c r="S33" i="45"/>
  <c r="S36" i="45" s="1"/>
  <c r="B31" i="46" l="1"/>
  <c r="S20" i="46"/>
  <c r="B33" i="46"/>
  <c r="B5" i="47"/>
  <c r="S18" i="46"/>
  <c r="S22" i="47"/>
  <c r="B22" i="48" l="1"/>
  <c r="B18" i="47"/>
  <c r="S5" i="47"/>
  <c r="S31" i="46"/>
  <c r="B20" i="47"/>
  <c r="S33" i="46"/>
  <c r="S36" i="46" s="1"/>
  <c r="B31" i="47" l="1"/>
  <c r="S20" i="47"/>
  <c r="B33" i="47"/>
  <c r="S18" i="47"/>
  <c r="B5" i="48"/>
  <c r="S22" i="48"/>
  <c r="B22" i="49" l="1"/>
  <c r="B18" i="48"/>
  <c r="S5" i="48"/>
  <c r="S31" i="47"/>
  <c r="B20" i="48"/>
  <c r="S33" i="47"/>
  <c r="S36" i="47" s="1"/>
  <c r="B31" i="48" l="1"/>
  <c r="S20" i="48"/>
  <c r="B33" i="48"/>
  <c r="S18" i="48"/>
  <c r="B5" i="49"/>
  <c r="S22" i="49"/>
  <c r="B22" i="50" l="1"/>
  <c r="B18" i="49"/>
  <c r="S5" i="49"/>
  <c r="S31" i="48"/>
  <c r="B20" i="49"/>
  <c r="S33" i="48"/>
  <c r="S36" i="48" s="1"/>
  <c r="B31" i="49" l="1"/>
  <c r="S20" i="49"/>
  <c r="B33" i="49"/>
  <c r="S18" i="49"/>
  <c r="B5" i="50"/>
  <c r="S22" i="50"/>
  <c r="B22" i="51" l="1"/>
  <c r="S5" i="50"/>
  <c r="B18" i="50"/>
  <c r="S31" i="49"/>
  <c r="B20" i="50"/>
  <c r="S33" i="49"/>
  <c r="S36" i="49" s="1"/>
  <c r="B31" i="50" l="1"/>
  <c r="S20" i="50"/>
  <c r="B33" i="50"/>
  <c r="S22" i="51"/>
  <c r="S18" i="50"/>
  <c r="B5" i="51"/>
  <c r="B18" i="51" l="1"/>
  <c r="S5" i="51"/>
  <c r="B22" i="52"/>
  <c r="S31" i="50"/>
  <c r="B20" i="51"/>
  <c r="S33" i="50"/>
  <c r="S36" i="50" s="1"/>
  <c r="B31" i="51" l="1"/>
  <c r="S20" i="51"/>
  <c r="B33" i="51"/>
  <c r="S22" i="52"/>
  <c r="S18" i="51"/>
  <c r="B5" i="52"/>
  <c r="S5" i="52" l="1"/>
  <c r="B18" i="52"/>
  <c r="B22" i="53"/>
  <c r="S31" i="51"/>
  <c r="B20" i="52"/>
  <c r="S33" i="51"/>
  <c r="S36" i="51" s="1"/>
  <c r="B31" i="52" l="1"/>
  <c r="S20" i="52"/>
  <c r="B33" i="52"/>
  <c r="S22" i="53"/>
  <c r="S18" i="52"/>
  <c r="B5" i="53"/>
  <c r="B18" i="53" l="1"/>
  <c r="S5" i="53"/>
  <c r="B22" i="54"/>
  <c r="S31" i="52"/>
  <c r="B20" i="53"/>
  <c r="S33" i="52"/>
  <c r="S36" i="52" s="1"/>
  <c r="B31" i="53" l="1"/>
  <c r="S20" i="53"/>
  <c r="B33" i="53"/>
  <c r="S22" i="54"/>
  <c r="S18" i="53"/>
  <c r="B5" i="54"/>
  <c r="B18" i="54" l="1"/>
  <c r="S5" i="54"/>
  <c r="B22" i="55"/>
  <c r="S31" i="53"/>
  <c r="B20" i="54"/>
  <c r="S33" i="53"/>
  <c r="S36" i="53" s="1"/>
  <c r="B31" i="54" l="1"/>
  <c r="S20" i="54"/>
  <c r="B33" i="54"/>
  <c r="S22" i="55"/>
  <c r="S18" i="54"/>
  <c r="B5" i="55"/>
  <c r="B18" i="55" l="1"/>
  <c r="S5" i="55"/>
  <c r="B22" i="56"/>
  <c r="S31" i="54"/>
  <c r="B20" i="55"/>
  <c r="S33" i="54"/>
  <c r="S36" i="54" s="1"/>
  <c r="S18" i="55" l="1"/>
  <c r="B5" i="56"/>
  <c r="B31" i="55"/>
  <c r="S20" i="55"/>
  <c r="B33" i="55"/>
  <c r="S22" i="56"/>
  <c r="B22" i="57" l="1"/>
  <c r="S31" i="55"/>
  <c r="B20" i="56"/>
  <c r="S33" i="55"/>
  <c r="S36" i="55" s="1"/>
  <c r="B18" i="56"/>
  <c r="S5" i="56"/>
  <c r="S18" i="56" l="1"/>
  <c r="B5" i="57"/>
  <c r="B31" i="56"/>
  <c r="S20" i="56"/>
  <c r="B33" i="56"/>
  <c r="S22" i="57"/>
  <c r="S31" i="56" l="1"/>
  <c r="B20" i="57"/>
  <c r="S33" i="56"/>
  <c r="S36" i="56" s="1"/>
  <c r="B18" i="57"/>
  <c r="S5" i="57"/>
  <c r="S18" i="57" s="1"/>
  <c r="B31" i="57" l="1"/>
  <c r="S20" i="57"/>
  <c r="B33" i="57"/>
  <c r="S31" i="57" l="1"/>
  <c r="S33" i="57"/>
  <c r="S36" i="57" s="1"/>
</calcChain>
</file>

<file path=xl/sharedStrings.xml><?xml version="1.0" encoding="utf-8"?>
<sst xmlns="http://schemas.openxmlformats.org/spreadsheetml/2006/main" count="1768" uniqueCount="132">
  <si>
    <t>Summe</t>
  </si>
  <si>
    <t>Folge-woche</t>
  </si>
  <si>
    <t>Ø A-Woche</t>
  </si>
  <si>
    <t>ältester</t>
  </si>
  <si>
    <t>Ø Eingänge-Woche</t>
  </si>
  <si>
    <t>PE</t>
  </si>
  <si>
    <t>A</t>
  </si>
  <si>
    <t>Postbearbeitung</t>
  </si>
  <si>
    <t>Eilige</t>
  </si>
  <si>
    <t>OVE Abfragen</t>
  </si>
  <si>
    <t>SB (Mietavale/StK)</t>
  </si>
  <si>
    <t>neue Mietavale</t>
  </si>
  <si>
    <t>Einfachaufträge</t>
  </si>
  <si>
    <t xml:space="preserve">Summe </t>
  </si>
  <si>
    <t>Antragsvorprüfung</t>
  </si>
  <si>
    <t>LV TAZ</t>
  </si>
  <si>
    <t>WGV</t>
  </si>
  <si>
    <t>SNOW</t>
  </si>
  <si>
    <t>Gesamtaufträge</t>
  </si>
  <si>
    <t>Jahr</t>
  </si>
  <si>
    <t>Post und Logistik</t>
  </si>
  <si>
    <t>Übertrag / Vorwoche</t>
  </si>
  <si>
    <t>Feiertage</t>
  </si>
  <si>
    <t>Neujahr</t>
  </si>
  <si>
    <t>Karfreitag</t>
  </si>
  <si>
    <t>Ostermontag</t>
  </si>
  <si>
    <t>Tag der Arbeit</t>
  </si>
  <si>
    <t>Christi Himmelfahrt</t>
  </si>
  <si>
    <t>Pfingstmontag</t>
  </si>
  <si>
    <t>Fronleichnam</t>
  </si>
  <si>
    <t>Tag der deutschen Einheit</t>
  </si>
  <si>
    <t>Allerheiligen</t>
  </si>
  <si>
    <t>Heiligabend</t>
  </si>
  <si>
    <t>2. Weihnachtstag</t>
  </si>
  <si>
    <t>1. Weihnachtstag</t>
  </si>
  <si>
    <t>Sylvester</t>
  </si>
  <si>
    <t>Ostersonntag</t>
  </si>
  <si>
    <t>Pfingstsonntag</t>
  </si>
  <si>
    <t>Rosenmontag</t>
  </si>
  <si>
    <t>Aschermittwoch</t>
  </si>
  <si>
    <t>Datum</t>
  </si>
  <si>
    <t>Postbearbeitung Bestand</t>
  </si>
  <si>
    <t>Mailbox</t>
  </si>
  <si>
    <t xml:space="preserve">   Buchungen</t>
  </si>
  <si>
    <t>SWP Mailbox</t>
  </si>
  <si>
    <t>KCB Mailbox</t>
  </si>
  <si>
    <t>Postbearbeitung BCB</t>
  </si>
  <si>
    <t>Januar</t>
  </si>
  <si>
    <t>Tag</t>
  </si>
  <si>
    <t>KW</t>
  </si>
  <si>
    <t>PA</t>
  </si>
  <si>
    <t>Summe Januar</t>
  </si>
  <si>
    <t>Summe KW 53</t>
  </si>
  <si>
    <t>Februar</t>
  </si>
  <si>
    <t>Summe Februar</t>
  </si>
  <si>
    <t>März</t>
  </si>
  <si>
    <t>Summe KW 10</t>
  </si>
  <si>
    <t>Summe KW 11</t>
  </si>
  <si>
    <t>Summe KW 12</t>
  </si>
  <si>
    <t>Summe KW 13</t>
  </si>
  <si>
    <t>Vorgängerinstitute</t>
  </si>
  <si>
    <t>Summe März</t>
  </si>
  <si>
    <t>April</t>
  </si>
  <si>
    <t>Mai</t>
  </si>
  <si>
    <t>Juni</t>
  </si>
  <si>
    <t>Summe April</t>
  </si>
  <si>
    <t>Summe Mai</t>
  </si>
  <si>
    <t>Summe Juni</t>
  </si>
  <si>
    <t>Juli</t>
  </si>
  <si>
    <t>August</t>
  </si>
  <si>
    <t>September</t>
  </si>
  <si>
    <t>Summe Juli</t>
  </si>
  <si>
    <t>Summe August</t>
  </si>
  <si>
    <t>Summe September</t>
  </si>
  <si>
    <t>Oktober</t>
  </si>
  <si>
    <t>November</t>
  </si>
  <si>
    <t>Dezember</t>
  </si>
  <si>
    <t>Summe Oktober</t>
  </si>
  <si>
    <t>Summe November</t>
  </si>
  <si>
    <t>Summe Dezember</t>
  </si>
  <si>
    <t>Summe KW 14</t>
  </si>
  <si>
    <t>Summe KW 15</t>
  </si>
  <si>
    <t>Summe KW 16</t>
  </si>
  <si>
    <t>Summe KW 17</t>
  </si>
  <si>
    <t>Summe KW 18</t>
  </si>
  <si>
    <t>Summe KW 19</t>
  </si>
  <si>
    <t>Summe KW 20</t>
  </si>
  <si>
    <t>Summe KW 21</t>
  </si>
  <si>
    <t>Summe KW 22</t>
  </si>
  <si>
    <t>Summe KW 09</t>
  </si>
  <si>
    <t>Summe KW 05</t>
  </si>
  <si>
    <t>Summe KW 06</t>
  </si>
  <si>
    <t>Summe KW 07</t>
  </si>
  <si>
    <t>Summe KW 08</t>
  </si>
  <si>
    <t>Summe KW 01</t>
  </si>
  <si>
    <t>Summe KW 02</t>
  </si>
  <si>
    <t>Summe KW 03</t>
  </si>
  <si>
    <t>Summe KW 04</t>
  </si>
  <si>
    <t>Summe KW 23</t>
  </si>
  <si>
    <t>Summe KW 24</t>
  </si>
  <si>
    <t>Summe KW 25</t>
  </si>
  <si>
    <t>Summe KW 26</t>
  </si>
  <si>
    <t>Summe KW 27</t>
  </si>
  <si>
    <t>Summe KW 28</t>
  </si>
  <si>
    <t>Summe KW 29</t>
  </si>
  <si>
    <t>Summe KW 30</t>
  </si>
  <si>
    <t>Summe KW 31</t>
  </si>
  <si>
    <t>Archiv</t>
  </si>
  <si>
    <t>Gesamtsumme</t>
  </si>
  <si>
    <t>Übertrag Archiv Vorwoche</t>
  </si>
  <si>
    <t>Summe KW 32</t>
  </si>
  <si>
    <t>Summe KW 33</t>
  </si>
  <si>
    <t>Summe KW 34</t>
  </si>
  <si>
    <t>Summe KW 35</t>
  </si>
  <si>
    <t>Summe KW 36</t>
  </si>
  <si>
    <t>Summe KW 37</t>
  </si>
  <si>
    <t>Summe KW 38</t>
  </si>
  <si>
    <t>Summe KW 39</t>
  </si>
  <si>
    <t>Summe KW 40</t>
  </si>
  <si>
    <t>Summe KW 41</t>
  </si>
  <si>
    <t>Summe KW 42</t>
  </si>
  <si>
    <t>Summe KW 43</t>
  </si>
  <si>
    <t>Summe KW 44</t>
  </si>
  <si>
    <t>Summe KW 45</t>
  </si>
  <si>
    <t>Summe KW 46</t>
  </si>
  <si>
    <t>Summe KW 47</t>
  </si>
  <si>
    <t>Summe KW 48</t>
  </si>
  <si>
    <t>Summe KW 49</t>
  </si>
  <si>
    <t>Summe KW 50</t>
  </si>
  <si>
    <t>Summe KW 51</t>
  </si>
  <si>
    <t>Summe KW 52</t>
  </si>
  <si>
    <t>Kalenderwoche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</si>
</sst>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d/m;@"/>
    <numFmt numFmtId="165" formatCode="h:mm;@"/>
    <numFmt numFmtId="166" formatCode="#,##0_ ;[Red]\-#,##0\ "/>
    <numFmt numFmtId="167" formatCode="dddd"/>
    <numFmt numFmtId="168" formatCode="0_ ;[Red]\-0\ "/>
    <numFmt numFmtId="169" formatCode="ddd"/>
    <numFmt numFmtId="170" formatCode="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Dashed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Dashed">
        <color indexed="64"/>
      </bottom>
      <diagonal/>
    </border>
    <border>
      <left style="thick">
        <color indexed="64"/>
      </left>
      <right style="thin">
        <color indexed="64"/>
      </right>
      <top style="mediumDash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Dashed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0" borderId="0" xfId="0" applyAlignment="1" applyProtection="1">
      <alignment horizontal="right"/>
      <protection hidden="1"/>
    </xf>
    <xf numFmtId="0" fontId="0" fillId="0" borderId="0" xfId="0" applyProtection="1"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4" xfId="0" applyFont="1" applyBorder="1" applyAlignment="1" applyProtection="1">
      <alignment horizontal="right" vertical="center" wrapText="1"/>
      <protection hidden="1"/>
    </xf>
    <xf numFmtId="0" fontId="3" fillId="0" borderId="4" xfId="0" applyFont="1" applyBorder="1" applyAlignment="1" applyProtection="1">
      <alignment horizontal="right" vertical="center"/>
      <protection hidden="1"/>
    </xf>
    <xf numFmtId="14" fontId="0" fillId="0" borderId="0" xfId="0" applyNumberFormat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2" fillId="2" borderId="4" xfId="0" applyFont="1" applyFill="1" applyBorder="1" applyAlignment="1" applyProtection="1">
      <alignment horizontal="right" vertical="center" wrapText="1"/>
      <protection hidden="1"/>
    </xf>
    <xf numFmtId="0" fontId="2" fillId="2" borderId="4" xfId="0" applyFont="1" applyFill="1" applyBorder="1" applyAlignment="1" applyProtection="1">
      <alignment horizontal="right" vertical="center"/>
      <protection hidden="1"/>
    </xf>
    <xf numFmtId="0" fontId="0" fillId="0" borderId="4" xfId="0" applyBorder="1" applyAlignment="1" applyProtection="1">
      <alignment horizontal="right"/>
      <protection hidden="1"/>
    </xf>
    <xf numFmtId="0" fontId="0" fillId="6" borderId="4" xfId="0" applyFill="1" applyBorder="1" applyProtection="1">
      <protection hidden="1"/>
    </xf>
    <xf numFmtId="167" fontId="0" fillId="0" borderId="0" xfId="0" applyNumberFormat="1" applyProtection="1">
      <protection hidden="1"/>
    </xf>
    <xf numFmtId="168" fontId="0" fillId="0" borderId="0" xfId="0" applyNumberFormat="1" applyProtection="1"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hidden="1"/>
    </xf>
    <xf numFmtId="0" fontId="2" fillId="3" borderId="26" xfId="0" applyFont="1" applyFill="1" applyBorder="1" applyAlignment="1" applyProtection="1">
      <alignment horizontal="center" vertical="center"/>
      <protection hidden="1"/>
    </xf>
    <xf numFmtId="0" fontId="2" fillId="3" borderId="27" xfId="0" applyFont="1" applyFill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166" fontId="2" fillId="0" borderId="14" xfId="0" applyNumberFormat="1" applyFont="1" applyFill="1" applyBorder="1" applyAlignment="1" applyProtection="1">
      <alignment horizontal="center" vertical="center"/>
      <protection hidden="1"/>
    </xf>
    <xf numFmtId="166" fontId="2" fillId="3" borderId="14" xfId="0" applyNumberFormat="1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0" fillId="0" borderId="15" xfId="0" applyFill="1" applyBorder="1" applyProtection="1"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166" fontId="2" fillId="0" borderId="17" xfId="0" applyNumberFormat="1" applyFont="1" applyFill="1" applyBorder="1" applyAlignment="1" applyProtection="1">
      <alignment horizontal="center" vertical="center"/>
      <protection hidden="1"/>
    </xf>
    <xf numFmtId="166" fontId="2" fillId="3" borderId="17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0" fontId="0" fillId="0" borderId="18" xfId="0" applyFill="1" applyBorder="1" applyProtection="1"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66" fontId="2" fillId="0" borderId="20" xfId="0" applyNumberFormat="1" applyFont="1" applyFill="1" applyBorder="1" applyAlignment="1" applyProtection="1">
      <alignment horizontal="center" vertical="center"/>
      <protection hidden="1"/>
    </xf>
    <xf numFmtId="166" fontId="2" fillId="3" borderId="20" xfId="0" applyNumberFormat="1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Protection="1"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22" xfId="0" applyFont="1" applyFill="1" applyBorder="1" applyAlignment="1" applyProtection="1">
      <alignment horizontal="center" vertical="center"/>
      <protection hidden="1"/>
    </xf>
    <xf numFmtId="164" fontId="2" fillId="0" borderId="20" xfId="0" quotePrefix="1" applyNumberFormat="1" applyFont="1" applyFill="1" applyBorder="1" applyAlignment="1" applyProtection="1">
      <alignment horizontal="center" vertical="center"/>
      <protection hidden="1"/>
    </xf>
    <xf numFmtId="165" fontId="2" fillId="0" borderId="20" xfId="0" applyNumberFormat="1" applyFont="1" applyFill="1" applyBorder="1" applyAlignment="1" applyProtection="1">
      <alignment horizontal="center" vertical="center"/>
      <protection hidden="1"/>
    </xf>
    <xf numFmtId="0" fontId="2" fillId="2" borderId="22" xfId="0" applyFont="1" applyFill="1" applyBorder="1" applyAlignment="1" applyProtection="1">
      <alignment horizontal="center"/>
      <protection hidden="1"/>
    </xf>
    <xf numFmtId="164" fontId="2" fillId="0" borderId="14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166" fontId="2" fillId="0" borderId="9" xfId="0" applyNumberFormat="1" applyFont="1" applyFill="1" applyBorder="1" applyAlignment="1" applyProtection="1">
      <alignment horizontal="center" vertical="center"/>
      <protection hidden="1"/>
    </xf>
    <xf numFmtId="166" fontId="2" fillId="3" borderId="9" xfId="0" applyNumberFormat="1" applyFont="1" applyFill="1" applyBorder="1" applyAlignment="1" applyProtection="1">
      <alignment horizontal="center" vertical="center"/>
      <protection hidden="1"/>
    </xf>
    <xf numFmtId="0" fontId="2" fillId="0" borderId="9" xfId="0" applyFont="1" applyFill="1" applyBorder="1" applyAlignment="1" applyProtection="1">
      <alignment horizontal="center" vertical="center"/>
      <protection hidden="1"/>
    </xf>
    <xf numFmtId="164" fontId="2" fillId="0" borderId="9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Protection="1">
      <protection hidden="1"/>
    </xf>
    <xf numFmtId="0" fontId="4" fillId="2" borderId="4" xfId="0" applyFont="1" applyFill="1" applyBorder="1" applyAlignment="1" applyProtection="1">
      <alignment horizontal="center" vertical="center"/>
      <protection hidden="1"/>
    </xf>
    <xf numFmtId="166" fontId="4" fillId="2" borderId="4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0" fillId="0" borderId="23" xfId="0" applyBorder="1" applyAlignment="1" applyProtection="1">
      <protection hidden="1"/>
    </xf>
    <xf numFmtId="0" fontId="0" fillId="0" borderId="12" xfId="0" applyFill="1" applyBorder="1" applyProtection="1"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24" xfId="0" applyFont="1" applyFill="1" applyBorder="1" applyAlignment="1" applyProtection="1">
      <alignment horizontal="center" vertical="center"/>
      <protection hidden="1"/>
    </xf>
    <xf numFmtId="166" fontId="2" fillId="2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23" xfId="0" applyBorder="1" applyProtection="1">
      <protection hidden="1"/>
    </xf>
    <xf numFmtId="0" fontId="1" fillId="4" borderId="4" xfId="0" applyFont="1" applyFill="1" applyBorder="1" applyAlignment="1" applyProtection="1">
      <alignment horizontal="center"/>
      <protection hidden="1"/>
    </xf>
    <xf numFmtId="166" fontId="1" fillId="4" borderId="4" xfId="0" applyNumberFormat="1" applyFont="1" applyFill="1" applyBorder="1" applyAlignment="1" applyProtection="1">
      <alignment horizontal="center"/>
      <protection hidden="1"/>
    </xf>
    <xf numFmtId="166" fontId="0" fillId="0" borderId="0" xfId="0" applyNumberFormat="1" applyProtection="1">
      <protection hidden="1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164" fontId="2" fillId="0" borderId="20" xfId="0" quotePrefix="1" applyNumberFormat="1" applyFont="1" applyFill="1" applyBorder="1" applyAlignment="1" applyProtection="1">
      <alignment horizontal="center" vertical="center"/>
      <protection locked="0"/>
    </xf>
    <xf numFmtId="165" fontId="2" fillId="0" borderId="20" xfId="0" applyNumberFormat="1" applyFont="1" applyFill="1" applyBorder="1" applyAlignment="1" applyProtection="1">
      <alignment horizontal="center" vertical="center"/>
      <protection locked="0"/>
    </xf>
    <xf numFmtId="16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166" fontId="2" fillId="6" borderId="14" xfId="0" applyNumberFormat="1" applyFont="1" applyFill="1" applyBorder="1" applyAlignment="1" applyProtection="1">
      <alignment horizontal="center" vertical="center"/>
      <protection locked="0"/>
    </xf>
    <xf numFmtId="166" fontId="2" fillId="6" borderId="17" xfId="0" applyNumberFormat="1" applyFont="1" applyFill="1" applyBorder="1" applyAlignment="1" applyProtection="1">
      <alignment horizontal="center" vertical="center"/>
      <protection locked="0"/>
    </xf>
    <xf numFmtId="166" fontId="2" fillId="6" borderId="20" xfId="0" applyNumberFormat="1" applyFont="1" applyFill="1" applyBorder="1" applyAlignment="1" applyProtection="1">
      <alignment horizontal="center" vertical="center"/>
      <protection locked="0"/>
    </xf>
    <xf numFmtId="166" fontId="2" fillId="6" borderId="9" xfId="0" applyNumberFormat="1" applyFont="1" applyFill="1" applyBorder="1" applyAlignment="1" applyProtection="1">
      <alignment horizontal="center" vertical="center"/>
      <protection locked="0"/>
    </xf>
    <xf numFmtId="166" fontId="4" fillId="2" borderId="28" xfId="0" applyNumberFormat="1" applyFont="1" applyFill="1" applyBorder="1" applyAlignment="1" applyProtection="1">
      <alignment horizontal="center"/>
      <protection hidden="1"/>
    </xf>
    <xf numFmtId="166" fontId="2" fillId="2" borderId="28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0" fontId="1" fillId="0" borderId="13" xfId="0" applyFont="1" applyBorder="1" applyAlignment="1" applyProtection="1">
      <alignment horizontal="right"/>
      <protection hidden="1"/>
    </xf>
    <xf numFmtId="0" fontId="1" fillId="0" borderId="14" xfId="0" applyFont="1" applyBorder="1" applyAlignment="1" applyProtection="1">
      <alignment horizontal="right"/>
      <protection hidden="1"/>
    </xf>
    <xf numFmtId="0" fontId="1" fillId="0" borderId="15" xfId="0" applyFont="1" applyBorder="1" applyAlignment="1" applyProtection="1">
      <alignment horizontal="right"/>
      <protection hidden="1"/>
    </xf>
    <xf numFmtId="14" fontId="0" fillId="0" borderId="16" xfId="0" applyNumberFormat="1" applyBorder="1" applyProtection="1">
      <protection hidden="1"/>
    </xf>
    <xf numFmtId="169" fontId="0" fillId="0" borderId="17" xfId="0" applyNumberFormat="1" applyBorder="1" applyProtection="1">
      <protection hidden="1"/>
    </xf>
    <xf numFmtId="0" fontId="0" fillId="0" borderId="17" xfId="0" applyBorder="1" applyProtection="1">
      <protection hidden="1"/>
    </xf>
    <xf numFmtId="166" fontId="0" fillId="0" borderId="18" xfId="0" applyNumberFormat="1" applyBorder="1" applyProtection="1">
      <protection hidden="1"/>
    </xf>
    <xf numFmtId="166" fontId="0" fillId="0" borderId="21" xfId="0" applyNumberFormat="1" applyBorder="1" applyProtection="1">
      <protection hidden="1"/>
    </xf>
    <xf numFmtId="14" fontId="0" fillId="0" borderId="30" xfId="0" applyNumberFormat="1" applyBorder="1" applyProtection="1">
      <protection hidden="1"/>
    </xf>
    <xf numFmtId="169" fontId="0" fillId="0" borderId="31" xfId="0" applyNumberFormat="1" applyBorder="1" applyProtection="1">
      <protection hidden="1"/>
    </xf>
    <xf numFmtId="0" fontId="0" fillId="0" borderId="31" xfId="0" applyBorder="1" applyProtection="1">
      <protection hidden="1"/>
    </xf>
    <xf numFmtId="166" fontId="0" fillId="0" borderId="32" xfId="0" applyNumberFormat="1" applyBorder="1" applyProtection="1">
      <protection hidden="1"/>
    </xf>
    <xf numFmtId="166" fontId="0" fillId="0" borderId="15" xfId="0" applyNumberFormat="1" applyBorder="1" applyProtection="1">
      <protection hidden="1"/>
    </xf>
    <xf numFmtId="0" fontId="1" fillId="0" borderId="16" xfId="0" applyFont="1" applyBorder="1" applyAlignment="1" applyProtection="1">
      <alignment horizontal="right"/>
      <protection hidden="1"/>
    </xf>
    <xf numFmtId="0" fontId="1" fillId="0" borderId="19" xfId="0" applyFont="1" applyBorder="1" applyAlignment="1" applyProtection="1">
      <alignment horizontal="right"/>
      <protection hidden="1"/>
    </xf>
    <xf numFmtId="14" fontId="5" fillId="2" borderId="0" xfId="0" applyNumberFormat="1" applyFont="1" applyFill="1" applyProtection="1">
      <protection hidden="1"/>
    </xf>
    <xf numFmtId="167" fontId="5" fillId="2" borderId="0" xfId="0" applyNumberFormat="1" applyFont="1" applyFill="1" applyProtection="1">
      <protection hidden="1"/>
    </xf>
    <xf numFmtId="166" fontId="1" fillId="0" borderId="0" xfId="0" applyNumberFormat="1" applyFont="1" applyAlignment="1" applyProtection="1">
      <alignment horizontal="right"/>
      <protection hidden="1"/>
    </xf>
    <xf numFmtId="166" fontId="0" fillId="6" borderId="18" xfId="0" applyNumberFormat="1" applyFill="1" applyBorder="1" applyProtection="1">
      <protection hidden="1"/>
    </xf>
    <xf numFmtId="166" fontId="0" fillId="6" borderId="32" xfId="0" applyNumberFormat="1" applyFill="1" applyBorder="1" applyProtection="1">
      <protection hidden="1"/>
    </xf>
    <xf numFmtId="0" fontId="1" fillId="0" borderId="25" xfId="0" applyFont="1" applyBorder="1" applyAlignment="1" applyProtection="1">
      <alignment horizontal="right"/>
      <protection hidden="1"/>
    </xf>
    <xf numFmtId="0" fontId="1" fillId="0" borderId="26" xfId="0" applyFont="1" applyBorder="1" applyAlignment="1" applyProtection="1">
      <alignment horizontal="right"/>
      <protection hidden="1"/>
    </xf>
    <xf numFmtId="0" fontId="1" fillId="0" borderId="27" xfId="0" applyFont="1" applyBorder="1" applyAlignment="1" applyProtection="1">
      <alignment horizontal="right"/>
      <protection hidden="1"/>
    </xf>
    <xf numFmtId="14" fontId="0" fillId="0" borderId="13" xfId="0" applyNumberFormat="1" applyBorder="1" applyProtection="1">
      <protection hidden="1"/>
    </xf>
    <xf numFmtId="169" fontId="0" fillId="0" borderId="14" xfId="0" applyNumberFormat="1" applyBorder="1" applyProtection="1">
      <protection hidden="1"/>
    </xf>
    <xf numFmtId="0" fontId="0" fillId="0" borderId="14" xfId="0" applyBorder="1" applyProtection="1">
      <protection hidden="1"/>
    </xf>
    <xf numFmtId="166" fontId="1" fillId="5" borderId="4" xfId="0" applyNumberFormat="1" applyFont="1" applyFill="1" applyBorder="1" applyAlignment="1" applyProtection="1">
      <alignment horizontal="center"/>
      <protection hidden="1"/>
    </xf>
    <xf numFmtId="166" fontId="1" fillId="5" borderId="37" xfId="0" applyNumberFormat="1" applyFont="1" applyFill="1" applyBorder="1" applyAlignment="1" applyProtection="1">
      <alignment horizontal="center"/>
      <protection hidden="1"/>
    </xf>
    <xf numFmtId="166" fontId="1" fillId="5" borderId="38" xfId="0" applyNumberFormat="1" applyFont="1" applyFill="1" applyBorder="1" applyAlignment="1" applyProtection="1">
      <alignment horizontal="center"/>
      <protection hidden="1"/>
    </xf>
    <xf numFmtId="166" fontId="1" fillId="5" borderId="39" xfId="0" applyNumberFormat="1" applyFont="1" applyFill="1" applyBorder="1" applyAlignment="1" applyProtection="1">
      <alignment horizontal="center"/>
      <protection hidden="1"/>
    </xf>
    <xf numFmtId="166" fontId="2" fillId="3" borderId="34" xfId="0" applyNumberFormat="1" applyFont="1" applyFill="1" applyBorder="1" applyAlignment="1" applyProtection="1">
      <alignment horizontal="center" vertical="center"/>
      <protection locked="0"/>
    </xf>
    <xf numFmtId="166" fontId="2" fillId="3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right"/>
      <protection hidden="1"/>
    </xf>
    <xf numFmtId="0" fontId="6" fillId="0" borderId="0" xfId="0" applyFont="1" applyProtection="1">
      <protection hidden="1"/>
    </xf>
    <xf numFmtId="0" fontId="1" fillId="0" borderId="42" xfId="0" applyFont="1" applyBorder="1" applyAlignment="1" applyProtection="1">
      <alignment horizontal="right"/>
      <protection hidden="1"/>
    </xf>
    <xf numFmtId="0" fontId="1" fillId="0" borderId="43" xfId="0" applyFont="1" applyBorder="1" applyAlignment="1" applyProtection="1">
      <alignment horizontal="right"/>
      <protection hidden="1"/>
    </xf>
    <xf numFmtId="0" fontId="1" fillId="0" borderId="44" xfId="0" applyFont="1" applyBorder="1" applyAlignment="1" applyProtection="1">
      <alignment horizontal="right"/>
      <protection hidden="1"/>
    </xf>
    <xf numFmtId="166" fontId="0" fillId="0" borderId="45" xfId="0" applyNumberFormat="1" applyBorder="1" applyProtection="1">
      <protection hidden="1"/>
    </xf>
    <xf numFmtId="166" fontId="0" fillId="0" borderId="46" xfId="0" applyNumberFormat="1" applyBorder="1" applyProtection="1">
      <protection hidden="1"/>
    </xf>
    <xf numFmtId="166" fontId="0" fillId="0" borderId="47" xfId="0" applyNumberFormat="1" applyBorder="1" applyProtection="1">
      <protection hidden="1"/>
    </xf>
    <xf numFmtId="14" fontId="0" fillId="0" borderId="0" xfId="0" applyNumberFormat="1"/>
    <xf numFmtId="14" fontId="0" fillId="0" borderId="0" xfId="0" applyNumberFormat="1" applyAlignment="1">
      <alignment vertical="center"/>
    </xf>
    <xf numFmtId="169" fontId="0" fillId="0" borderId="0" xfId="0" applyNumberFormat="1" applyProtection="1">
      <protection hidden="1"/>
    </xf>
    <xf numFmtId="0" fontId="5" fillId="0" borderId="0" xfId="0" applyFont="1" applyProtection="1">
      <protection hidden="1"/>
    </xf>
    <xf numFmtId="170" fontId="0" fillId="0" borderId="0" xfId="0" applyNumberFormat="1" applyProtection="1">
      <protection hidden="1"/>
    </xf>
    <xf numFmtId="1" fontId="0" fillId="5" borderId="0" xfId="0" applyNumberFormat="1" applyFill="1" applyProtection="1">
      <protection hidden="1"/>
    </xf>
    <xf numFmtId="1" fontId="0" fillId="0" borderId="0" xfId="0" applyNumberFormat="1" applyFont="1" applyProtection="1">
      <protection hidden="1"/>
    </xf>
    <xf numFmtId="14" fontId="5" fillId="0" borderId="0" xfId="0" applyNumberFormat="1" applyFont="1" applyProtection="1">
      <protection hidden="1"/>
    </xf>
    <xf numFmtId="168" fontId="5" fillId="0" borderId="0" xfId="0" applyNumberFormat="1" applyFont="1" applyProtection="1">
      <protection hidden="1"/>
    </xf>
    <xf numFmtId="1" fontId="5" fillId="0" borderId="0" xfId="0" applyNumberFormat="1" applyFont="1" applyProtection="1">
      <protection hidden="1"/>
    </xf>
    <xf numFmtId="166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6" borderId="22" xfId="0" applyFont="1" applyFill="1" applyBorder="1" applyAlignment="1" applyProtection="1">
      <alignment horizontal="center" vertical="center"/>
      <protection hidden="1"/>
    </xf>
    <xf numFmtId="0" fontId="0" fillId="6" borderId="0" xfId="0" applyFill="1" applyAlignment="1" applyProtection="1">
      <protection hidden="1"/>
    </xf>
    <xf numFmtId="0" fontId="0" fillId="6" borderId="0" xfId="0" applyFill="1" applyProtection="1">
      <protection hidden="1"/>
    </xf>
    <xf numFmtId="166" fontId="0" fillId="5" borderId="4" xfId="0" applyNumberFormat="1" applyFill="1" applyBorder="1" applyProtection="1">
      <protection hidden="1"/>
    </xf>
    <xf numFmtId="166" fontId="2" fillId="2" borderId="4" xfId="0" applyNumberFormat="1" applyFont="1" applyFill="1" applyBorder="1" applyAlignment="1" applyProtection="1">
      <alignment horizontal="right" vertical="center"/>
      <protection hidden="1"/>
    </xf>
    <xf numFmtId="166" fontId="0" fillId="0" borderId="4" xfId="0" applyNumberFormat="1" applyBorder="1" applyProtection="1">
      <protection hidden="1"/>
    </xf>
    <xf numFmtId="166" fontId="0" fillId="5" borderId="41" xfId="0" applyNumberFormat="1" applyFill="1" applyBorder="1" applyProtection="1">
      <protection hidden="1"/>
    </xf>
    <xf numFmtId="166" fontId="2" fillId="0" borderId="14" xfId="0" applyNumberFormat="1" applyFont="1" applyBorder="1" applyAlignment="1" applyProtection="1">
      <alignment horizontal="center" vertical="center"/>
      <protection hidden="1"/>
    </xf>
    <xf numFmtId="166" fontId="2" fillId="0" borderId="17" xfId="0" applyNumberFormat="1" applyFont="1" applyBorder="1" applyAlignment="1" applyProtection="1">
      <alignment horizontal="center" vertical="center"/>
      <protection hidden="1"/>
    </xf>
    <xf numFmtId="166" fontId="2" fillId="0" borderId="20" xfId="0" applyNumberFormat="1" applyFont="1" applyBorder="1" applyAlignment="1" applyProtection="1">
      <alignment horizontal="center" vertical="center"/>
      <protection hidden="1"/>
    </xf>
    <xf numFmtId="166" fontId="2" fillId="2" borderId="22" xfId="0" applyNumberFormat="1" applyFont="1" applyFill="1" applyBorder="1" applyAlignment="1" applyProtection="1">
      <alignment horizontal="center" vertical="center"/>
      <protection hidden="1"/>
    </xf>
    <xf numFmtId="166" fontId="2" fillId="2" borderId="22" xfId="0" applyNumberFormat="1" applyFont="1" applyFill="1" applyBorder="1" applyAlignment="1" applyProtection="1">
      <alignment horizontal="center"/>
      <protection hidden="1"/>
    </xf>
    <xf numFmtId="166" fontId="2" fillId="0" borderId="9" xfId="0" applyNumberFormat="1" applyFont="1" applyBorder="1" applyAlignment="1" applyProtection="1">
      <alignment horizontal="center" vertical="center"/>
      <protection hidden="1"/>
    </xf>
    <xf numFmtId="166" fontId="2" fillId="2" borderId="4" xfId="0" applyNumberFormat="1" applyFont="1" applyFill="1" applyBorder="1" applyAlignment="1" applyProtection="1">
      <alignment horizontal="center"/>
      <protection hidden="1"/>
    </xf>
    <xf numFmtId="166" fontId="0" fillId="0" borderId="0" xfId="0" applyNumberFormat="1" applyAlignment="1" applyProtection="1">
      <protection hidden="1"/>
    </xf>
    <xf numFmtId="166" fontId="2" fillId="0" borderId="9" xfId="0" applyNumberFormat="1" applyFont="1" applyBorder="1" applyAlignment="1" applyProtection="1">
      <alignment horizontal="center" vertical="center"/>
      <protection locked="0"/>
    </xf>
    <xf numFmtId="166" fontId="2" fillId="2" borderId="0" xfId="0" applyNumberFormat="1" applyFont="1" applyFill="1" applyBorder="1" applyAlignment="1" applyProtection="1">
      <alignment horizontal="center" vertical="center"/>
      <protection hidden="1"/>
    </xf>
    <xf numFmtId="166" fontId="0" fillId="0" borderId="0" xfId="0" applyNumberFormat="1" applyAlignment="1" applyProtection="1">
      <alignment horizontal="center"/>
      <protection hidden="1"/>
    </xf>
    <xf numFmtId="166" fontId="2" fillId="0" borderId="36" xfId="0" applyNumberFormat="1" applyFont="1" applyFill="1" applyBorder="1" applyAlignment="1" applyProtection="1">
      <alignment horizontal="center" vertical="center"/>
      <protection hidden="1"/>
    </xf>
    <xf numFmtId="166" fontId="2" fillId="2" borderId="24" xfId="0" applyNumberFormat="1" applyFont="1" applyFill="1" applyBorder="1" applyAlignment="1" applyProtection="1">
      <alignment horizontal="center" vertical="center"/>
      <protection hidden="1"/>
    </xf>
    <xf numFmtId="166" fontId="2" fillId="2" borderId="24" xfId="0" applyNumberFormat="1" applyFont="1" applyFill="1" applyBorder="1" applyAlignment="1" applyProtection="1">
      <alignment horizontal="center"/>
      <protection hidden="1"/>
    </xf>
    <xf numFmtId="166" fontId="2" fillId="0" borderId="26" xfId="0" applyNumberFormat="1" applyFont="1" applyBorder="1" applyAlignment="1" applyProtection="1">
      <alignment horizontal="center" vertical="center"/>
      <protection hidden="1"/>
    </xf>
    <xf numFmtId="166" fontId="2" fillId="0" borderId="29" xfId="0" applyNumberFormat="1" applyFont="1" applyBorder="1" applyAlignment="1" applyProtection="1">
      <alignment horizontal="center" vertical="center"/>
      <protection hidden="1"/>
    </xf>
    <xf numFmtId="14" fontId="0" fillId="6" borderId="16" xfId="0" applyNumberFormat="1" applyFill="1" applyBorder="1" applyProtection="1">
      <protection hidden="1"/>
    </xf>
    <xf numFmtId="169" fontId="0" fillId="6" borderId="17" xfId="0" applyNumberFormat="1" applyFill="1" applyBorder="1" applyProtection="1">
      <protection hidden="1"/>
    </xf>
    <xf numFmtId="0" fontId="0" fillId="6" borderId="17" xfId="0" applyFill="1" applyBorder="1" applyProtection="1">
      <protection hidden="1"/>
    </xf>
    <xf numFmtId="14" fontId="0" fillId="6" borderId="16" xfId="0" applyNumberFormat="1" applyFont="1" applyFill="1" applyBorder="1" applyProtection="1">
      <protection hidden="1"/>
    </xf>
    <xf numFmtId="169" fontId="0" fillId="6" borderId="17" xfId="0" applyNumberFormat="1" applyFont="1" applyFill="1" applyBorder="1" applyProtection="1">
      <protection hidden="1"/>
    </xf>
    <xf numFmtId="0" fontId="0" fillId="6" borderId="17" xfId="0" applyFont="1" applyFill="1" applyBorder="1" applyProtection="1">
      <protection hidden="1"/>
    </xf>
    <xf numFmtId="166" fontId="0" fillId="6" borderId="18" xfId="0" applyNumberFormat="1" applyFont="1" applyFill="1" applyBorder="1" applyProtection="1">
      <protection hidden="1"/>
    </xf>
    <xf numFmtId="166" fontId="0" fillId="6" borderId="33" xfId="0" applyNumberFormat="1" applyFill="1" applyBorder="1" applyProtection="1">
      <protection hidden="1"/>
    </xf>
    <xf numFmtId="166" fontId="2" fillId="2" borderId="23" xfId="0" applyNumberFormat="1" applyFont="1" applyFill="1" applyBorder="1" applyAlignment="1" applyProtection="1">
      <alignment horizontal="center" vertical="center"/>
      <protection hidden="1"/>
    </xf>
    <xf numFmtId="166" fontId="2" fillId="6" borderId="50" xfId="0" applyNumberFormat="1" applyFont="1" applyFill="1" applyBorder="1" applyAlignment="1" applyProtection="1">
      <alignment horizontal="center" vertical="center"/>
      <protection locked="0"/>
    </xf>
    <xf numFmtId="166" fontId="2" fillId="6" borderId="51" xfId="0" applyNumberFormat="1" applyFont="1" applyFill="1" applyBorder="1" applyAlignment="1" applyProtection="1">
      <alignment horizontal="center" vertical="center"/>
      <protection locked="0"/>
    </xf>
    <xf numFmtId="166" fontId="2" fillId="6" borderId="52" xfId="0" applyNumberFormat="1" applyFont="1" applyFill="1" applyBorder="1" applyAlignment="1" applyProtection="1">
      <alignment horizontal="center" vertical="center"/>
      <protection locked="0"/>
    </xf>
    <xf numFmtId="166" fontId="2" fillId="6" borderId="13" xfId="0" applyNumberFormat="1" applyFont="1" applyFill="1" applyBorder="1" applyAlignment="1" applyProtection="1">
      <alignment horizontal="center" vertical="center"/>
      <protection locked="0"/>
    </xf>
    <xf numFmtId="166" fontId="2" fillId="6" borderId="15" xfId="0" applyNumberFormat="1" applyFont="1" applyFill="1" applyBorder="1" applyAlignment="1" applyProtection="1">
      <alignment horizontal="center" vertical="center"/>
      <protection locked="0"/>
    </xf>
    <xf numFmtId="166" fontId="2" fillId="6" borderId="19" xfId="0" applyNumberFormat="1" applyFont="1" applyFill="1" applyBorder="1" applyAlignment="1" applyProtection="1">
      <alignment horizontal="center" vertical="center"/>
      <protection locked="0"/>
    </xf>
    <xf numFmtId="166" fontId="2" fillId="6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protection hidden="1"/>
    </xf>
    <xf numFmtId="166" fontId="2" fillId="0" borderId="48" xfId="0" applyNumberFormat="1" applyFont="1" applyBorder="1" applyAlignment="1" applyProtection="1">
      <alignment horizontal="center" vertical="center"/>
      <protection hidden="1"/>
    </xf>
    <xf numFmtId="166" fontId="2" fillId="0" borderId="53" xfId="0" applyNumberFormat="1" applyFont="1" applyBorder="1" applyAlignment="1" applyProtection="1">
      <alignment horizontal="center" vertical="center"/>
      <protection hidden="1"/>
    </xf>
    <xf numFmtId="166" fontId="2" fillId="0" borderId="49" xfId="0" applyNumberFormat="1" applyFont="1" applyBorder="1" applyAlignment="1" applyProtection="1">
      <alignment horizontal="center" vertical="center"/>
      <protection hidden="1"/>
    </xf>
    <xf numFmtId="166" fontId="2" fillId="0" borderId="54" xfId="0" applyNumberFormat="1" applyFont="1" applyBorder="1" applyAlignment="1" applyProtection="1">
      <alignment horizontal="center" vertical="center"/>
      <protection hidden="1"/>
    </xf>
    <xf numFmtId="166" fontId="2" fillId="6" borderId="55" xfId="0" applyNumberFormat="1" applyFont="1" applyFill="1" applyBorder="1" applyAlignment="1" applyProtection="1">
      <alignment horizontal="center" vertical="center"/>
      <protection locked="0"/>
    </xf>
    <xf numFmtId="166" fontId="2" fillId="6" borderId="56" xfId="0" applyNumberFormat="1" applyFont="1" applyFill="1" applyBorder="1" applyAlignment="1" applyProtection="1">
      <alignment horizontal="center" vertical="center"/>
      <protection locked="0"/>
    </xf>
    <xf numFmtId="166" fontId="2" fillId="6" borderId="16" xfId="0" applyNumberFormat="1" applyFont="1" applyFill="1" applyBorder="1" applyAlignment="1" applyProtection="1">
      <alignment horizontal="center" vertical="center"/>
      <protection locked="0"/>
    </xf>
    <xf numFmtId="166" fontId="2" fillId="6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12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166" fontId="2" fillId="2" borderId="1" xfId="0" applyNumberFormat="1" applyFont="1" applyFill="1" applyBorder="1" applyAlignment="1" applyProtection="1">
      <alignment horizontal="center" vertical="center" wrapText="1"/>
      <protection hidden="1"/>
    </xf>
    <xf numFmtId="166" fontId="2" fillId="2" borderId="7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Standard" xfId="0" builtinId="0"/>
  </cellStyles>
  <dxfs count="901"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1"/>
        </patternFill>
      </fill>
    </dxf>
    <dxf>
      <fill>
        <patternFill>
          <bgColor theme="8" tint="0.39994506668294322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8" tint="0.39994506668294322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36"/>
  <sheetViews>
    <sheetView workbookViewId="0">
      <selection activeCell="B2" sqref="B2"/>
    </sheetView>
  </sheetViews>
  <sheetFormatPr baseColWidth="10" defaultColWidth="10.5546875" defaultRowHeight="14.4" x14ac:dyDescent="0.3"/>
  <cols>
    <col min="1" max="1" width="22.44140625" style="1" bestFit="1" customWidth="1"/>
    <col min="2" max="4" width="10.5546875" style="2"/>
    <col min="5" max="5" width="8" style="2" customWidth="1"/>
    <col min="6" max="6" width="10.5546875" style="2"/>
    <col min="7" max="7" width="22" style="2" bestFit="1" customWidth="1"/>
    <col min="8" max="8" width="15" style="2" bestFit="1" customWidth="1"/>
    <col min="9" max="16384" width="10.5546875" style="2"/>
  </cols>
  <sheetData>
    <row r="1" spans="1:10" x14ac:dyDescent="0.3">
      <c r="A1" s="1" t="s">
        <v>19</v>
      </c>
      <c r="B1" s="121">
        <v>2021</v>
      </c>
      <c r="F1" s="7" t="s">
        <v>40</v>
      </c>
      <c r="G1" s="7" t="s">
        <v>22</v>
      </c>
      <c r="H1" s="116" t="s">
        <v>131</v>
      </c>
      <c r="J1" s="2" t="s">
        <v>48</v>
      </c>
    </row>
    <row r="2" spans="1:10" x14ac:dyDescent="0.3">
      <c r="B2" s="6">
        <f>DATE(B1,1,1)</f>
        <v>44197</v>
      </c>
      <c r="F2" s="6">
        <f>F3-1</f>
        <v>44189</v>
      </c>
      <c r="G2" s="1" t="s">
        <v>32</v>
      </c>
      <c r="H2" s="2">
        <v>1</v>
      </c>
      <c r="I2" s="117">
        <f>DATE(B1,1,1)-WEEKDAY(DATE(B1,1,1),2)+1+((H2+IF(WEEKDAY(DATE(B1,1,1),2)&gt;4,0,-1))*7)</f>
        <v>44200</v>
      </c>
      <c r="J2" s="118">
        <f>I2</f>
        <v>44200</v>
      </c>
    </row>
    <row r="3" spans="1:10" ht="15" thickBot="1" x14ac:dyDescent="0.35">
      <c r="B3" s="120">
        <f>B2</f>
        <v>44197</v>
      </c>
      <c r="F3" s="6">
        <f>F4-1</f>
        <v>44190</v>
      </c>
      <c r="G3" s="1" t="s">
        <v>34</v>
      </c>
    </row>
    <row r="4" spans="1:10" ht="15" thickBot="1" x14ac:dyDescent="0.35">
      <c r="A4" s="8" t="s">
        <v>20</v>
      </c>
      <c r="B4" s="11"/>
      <c r="F4" s="6">
        <f>F5-5</f>
        <v>44191</v>
      </c>
      <c r="G4" s="1" t="s">
        <v>33</v>
      </c>
    </row>
    <row r="5" spans="1:10" ht="15" thickBot="1" x14ac:dyDescent="0.35">
      <c r="A5" s="3" t="s">
        <v>41</v>
      </c>
      <c r="B5" s="130">
        <v>0</v>
      </c>
      <c r="F5" s="6">
        <f>F6-1</f>
        <v>44196</v>
      </c>
      <c r="G5" s="1" t="s">
        <v>35</v>
      </c>
    </row>
    <row r="6" spans="1:10" ht="15" thickBot="1" x14ac:dyDescent="0.35">
      <c r="A6" s="3" t="s">
        <v>42</v>
      </c>
      <c r="B6" s="130">
        <v>0</v>
      </c>
      <c r="F6" s="6">
        <f>DATE($B$1,1,1)</f>
        <v>44197</v>
      </c>
      <c r="G6" s="1" t="s">
        <v>23</v>
      </c>
    </row>
    <row r="7" spans="1:10" ht="15" thickBot="1" x14ac:dyDescent="0.35">
      <c r="A7" s="3" t="s">
        <v>8</v>
      </c>
      <c r="B7" s="130">
        <v>0</v>
      </c>
      <c r="F7" s="6">
        <f>F10-48</f>
        <v>44242</v>
      </c>
      <c r="G7" s="1" t="s">
        <v>38</v>
      </c>
    </row>
    <row r="8" spans="1:10" ht="15" thickBot="1" x14ac:dyDescent="0.35">
      <c r="A8" s="9"/>
      <c r="B8" s="131"/>
      <c r="F8" s="6">
        <f>F10-46</f>
        <v>44244</v>
      </c>
      <c r="G8" s="1" t="s">
        <v>39</v>
      </c>
    </row>
    <row r="9" spans="1:10" ht="15" thickBot="1" x14ac:dyDescent="0.35">
      <c r="A9" s="3" t="s">
        <v>9</v>
      </c>
      <c r="B9" s="130">
        <v>0</v>
      </c>
      <c r="F9" s="6">
        <f>$F$10-2</f>
        <v>44288</v>
      </c>
      <c r="G9" s="1" t="s">
        <v>24</v>
      </c>
    </row>
    <row r="10" spans="1:10" ht="15" thickBot="1" x14ac:dyDescent="0.35">
      <c r="A10" s="3" t="s">
        <v>43</v>
      </c>
      <c r="B10" s="130">
        <v>0</v>
      </c>
      <c r="F10" s="6">
        <f>DATE(B1,3,28)+MOD(24-MOD(B1,19)*10.63,29)-MOD(TRUNC(B1*5/4)+MOD(24-MOD(B1,19)*10.63,29)+1,7)</f>
        <v>44290</v>
      </c>
      <c r="G10" s="1" t="s">
        <v>36</v>
      </c>
    </row>
    <row r="11" spans="1:10" ht="15" thickBot="1" x14ac:dyDescent="0.35">
      <c r="A11" s="3" t="s">
        <v>10</v>
      </c>
      <c r="B11" s="130">
        <v>2</v>
      </c>
      <c r="F11" s="6">
        <f>$F$10+1</f>
        <v>44291</v>
      </c>
      <c r="G11" s="1" t="s">
        <v>25</v>
      </c>
    </row>
    <row r="12" spans="1:10" ht="15" thickBot="1" x14ac:dyDescent="0.35">
      <c r="A12" s="3" t="s">
        <v>11</v>
      </c>
      <c r="B12" s="130">
        <v>0</v>
      </c>
      <c r="F12" s="6">
        <f>DATE($B$1,5,1)</f>
        <v>44317</v>
      </c>
      <c r="G12" s="1" t="s">
        <v>26</v>
      </c>
    </row>
    <row r="13" spans="1:10" ht="15" thickBot="1" x14ac:dyDescent="0.35">
      <c r="A13" s="9"/>
      <c r="B13" s="131"/>
      <c r="F13" s="6">
        <f>$F$10+39</f>
        <v>44329</v>
      </c>
      <c r="G13" s="1" t="s">
        <v>27</v>
      </c>
    </row>
    <row r="14" spans="1:10" ht="15" thickBot="1" x14ac:dyDescent="0.35">
      <c r="A14" s="3" t="s">
        <v>60</v>
      </c>
      <c r="B14" s="130">
        <v>0</v>
      </c>
      <c r="F14" s="6">
        <f>$F$10+49</f>
        <v>44339</v>
      </c>
      <c r="G14" s="1" t="s">
        <v>37</v>
      </c>
    </row>
    <row r="15" spans="1:10" ht="15" thickBot="1" x14ac:dyDescent="0.35">
      <c r="A15" s="4" t="s">
        <v>12</v>
      </c>
      <c r="B15" s="130">
        <v>0</v>
      </c>
      <c r="F15" s="6">
        <f>$F$10+50</f>
        <v>44340</v>
      </c>
      <c r="G15" s="1" t="s">
        <v>28</v>
      </c>
    </row>
    <row r="16" spans="1:10" ht="15" thickBot="1" x14ac:dyDescent="0.35">
      <c r="A16" s="9"/>
      <c r="B16" s="131"/>
      <c r="F16" s="6">
        <f>$F$10+60</f>
        <v>44350</v>
      </c>
      <c r="G16" s="1" t="s">
        <v>29</v>
      </c>
    </row>
    <row r="17" spans="1:7" ht="15" thickBot="1" x14ac:dyDescent="0.35">
      <c r="A17" s="5"/>
      <c r="B17" s="131"/>
      <c r="F17" s="6">
        <f>DATE($B$1,10,3)</f>
        <v>44472</v>
      </c>
      <c r="G17" s="1" t="s">
        <v>30</v>
      </c>
    </row>
    <row r="18" spans="1:7" ht="15" thickBot="1" x14ac:dyDescent="0.35">
      <c r="A18" s="9" t="s">
        <v>13</v>
      </c>
      <c r="B18" s="131"/>
      <c r="F18" s="6">
        <f>DATE($B$1,11,1)</f>
        <v>44501</v>
      </c>
      <c r="G18" s="1" t="s">
        <v>31</v>
      </c>
    </row>
    <row r="19" spans="1:7" ht="15" thickBot="1" x14ac:dyDescent="0.35">
      <c r="A19" s="10"/>
      <c r="B19" s="132"/>
      <c r="F19" s="6">
        <f>DATE($B$1,12,24)</f>
        <v>44554</v>
      </c>
      <c r="G19" s="1" t="s">
        <v>32</v>
      </c>
    </row>
    <row r="20" spans="1:7" ht="15" thickBot="1" x14ac:dyDescent="0.35">
      <c r="A20" s="3" t="s">
        <v>7</v>
      </c>
      <c r="B20" s="130">
        <v>0</v>
      </c>
      <c r="F20" s="6">
        <f>DATE($B$1,12,25)</f>
        <v>44555</v>
      </c>
      <c r="G20" s="1" t="s">
        <v>34</v>
      </c>
    </row>
    <row r="21" spans="1:7" ht="15" thickBot="1" x14ac:dyDescent="0.35">
      <c r="A21" s="9"/>
      <c r="B21" s="131"/>
      <c r="F21" s="6">
        <f>DATE($B$1,12,26)</f>
        <v>44556</v>
      </c>
      <c r="G21" s="1" t="s">
        <v>33</v>
      </c>
    </row>
    <row r="22" spans="1:7" ht="15" thickBot="1" x14ac:dyDescent="0.35">
      <c r="A22" s="3" t="s">
        <v>44</v>
      </c>
      <c r="B22" s="130">
        <v>0</v>
      </c>
      <c r="F22" s="6">
        <f>DATE($B$1,12,31)</f>
        <v>44561</v>
      </c>
      <c r="G22" s="1" t="s">
        <v>35</v>
      </c>
    </row>
    <row r="23" spans="1:7" ht="15" thickBot="1" x14ac:dyDescent="0.35">
      <c r="A23" s="3" t="s">
        <v>45</v>
      </c>
      <c r="B23" s="130">
        <v>0</v>
      </c>
    </row>
    <row r="24" spans="1:7" ht="15" thickBot="1" x14ac:dyDescent="0.35">
      <c r="A24" s="3" t="s">
        <v>17</v>
      </c>
      <c r="B24" s="130">
        <v>0</v>
      </c>
    </row>
    <row r="25" spans="1:7" ht="15" thickBot="1" x14ac:dyDescent="0.35">
      <c r="A25" s="9"/>
      <c r="B25" s="131"/>
    </row>
    <row r="26" spans="1:7" ht="15" thickBot="1" x14ac:dyDescent="0.35">
      <c r="A26" s="3" t="s">
        <v>14</v>
      </c>
      <c r="B26" s="130">
        <v>1</v>
      </c>
    </row>
    <row r="27" spans="1:7" ht="15" thickBot="1" x14ac:dyDescent="0.35">
      <c r="A27" s="10" t="s">
        <v>15</v>
      </c>
      <c r="B27" s="130">
        <v>48</v>
      </c>
    </row>
    <row r="28" spans="1:7" ht="15" thickBot="1" x14ac:dyDescent="0.35">
      <c r="A28" s="10" t="s">
        <v>16</v>
      </c>
      <c r="B28" s="130">
        <v>7</v>
      </c>
    </row>
    <row r="29" spans="1:7" ht="15" thickBot="1" x14ac:dyDescent="0.35">
      <c r="A29" s="9"/>
      <c r="B29" s="131"/>
    </row>
    <row r="30" spans="1:7" ht="15" thickBot="1" x14ac:dyDescent="0.35">
      <c r="A30" s="10" t="s">
        <v>46</v>
      </c>
      <c r="B30" s="130">
        <v>0</v>
      </c>
    </row>
    <row r="31" spans="1:7" x14ac:dyDescent="0.3">
      <c r="B31" s="59"/>
    </row>
    <row r="32" spans="1:7" x14ac:dyDescent="0.3">
      <c r="B32" s="59"/>
    </row>
    <row r="33" spans="1:2" x14ac:dyDescent="0.3">
      <c r="B33" s="59"/>
    </row>
    <row r="34" spans="1:2" ht="15" thickBot="1" x14ac:dyDescent="0.35">
      <c r="B34" s="59"/>
    </row>
    <row r="35" spans="1:2" ht="15.6" thickTop="1" thickBot="1" x14ac:dyDescent="0.35">
      <c r="A35" s="108" t="s">
        <v>109</v>
      </c>
      <c r="B35" s="133">
        <v>1496</v>
      </c>
    </row>
    <row r="36" spans="1:2" ht="15" thickTop="1" x14ac:dyDescent="0.3"/>
  </sheetData>
  <sheetProtection selectLockedCells="1"/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U37"/>
  <sheetViews>
    <sheetView zoomScaleNormal="100" workbookViewId="0">
      <selection activeCell="C5" sqref="C5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2" customWidth="1"/>
    <col min="3" max="16" width="10.77734375" style="2" customWidth="1"/>
    <col min="17" max="18" width="9.77734375" style="2" customWidth="1"/>
    <col min="19" max="16384" width="10.5546875" style="2"/>
  </cols>
  <sheetData>
    <row r="1" spans="1:21" x14ac:dyDescent="0.3">
      <c r="A1" s="6"/>
      <c r="B1" s="12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B2" s="13"/>
      <c r="C2" s="122">
        <f>YEAR(C3)</f>
        <v>2021</v>
      </c>
      <c r="D2" s="119" t="str">
        <f>IFERROR(VLOOKUP(C3,Start!$F$2:$G$22,2,0),"")</f>
        <v>Rosenmontag</v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>Aschermittwoch</v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77" t="s">
        <v>20</v>
      </c>
      <c r="B3" s="177" t="s">
        <v>21</v>
      </c>
      <c r="C3" s="91">
        <f>'KW 1'!$C$3+42</f>
        <v>44242</v>
      </c>
      <c r="D3" s="92">
        <f>C3</f>
        <v>44242</v>
      </c>
      <c r="E3" s="91">
        <f>C3+1</f>
        <v>44243</v>
      </c>
      <c r="F3" s="92">
        <f>E3</f>
        <v>44243</v>
      </c>
      <c r="G3" s="91">
        <f>C3+2</f>
        <v>44244</v>
      </c>
      <c r="H3" s="92">
        <f>G3</f>
        <v>44244</v>
      </c>
      <c r="I3" s="91">
        <f>C3+3</f>
        <v>44245</v>
      </c>
      <c r="J3" s="92">
        <f>I3</f>
        <v>44245</v>
      </c>
      <c r="K3" s="91">
        <f>C3+4</f>
        <v>44246</v>
      </c>
      <c r="L3" s="92">
        <f>K3</f>
        <v>44246</v>
      </c>
      <c r="M3" s="91">
        <f>C3+5</f>
        <v>44247</v>
      </c>
      <c r="N3" s="92">
        <f>M3</f>
        <v>44247</v>
      </c>
      <c r="O3" s="91">
        <f>C3+6</f>
        <v>44248</v>
      </c>
      <c r="P3" s="92">
        <f>O3</f>
        <v>44248</v>
      </c>
      <c r="Q3" s="14" t="s">
        <v>0</v>
      </c>
      <c r="R3" s="15" t="s">
        <v>0</v>
      </c>
      <c r="S3" s="177" t="s">
        <v>1</v>
      </c>
      <c r="T3" s="177" t="s">
        <v>2</v>
      </c>
      <c r="U3" s="175" t="s">
        <v>4</v>
      </c>
    </row>
    <row r="4" spans="1:21" ht="15" thickBot="1" x14ac:dyDescent="0.35">
      <c r="A4" s="178"/>
      <c r="B4" s="178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76"/>
    </row>
    <row r="5" spans="1:21" x14ac:dyDescent="0.3">
      <c r="A5" s="19" t="str">
        <f>Start!A5</f>
        <v>Postbearbeitung Bestand</v>
      </c>
      <c r="B5" s="134">
        <f>'KW 6'!S5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5">
        <f>'KW 6'!S6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6">
        <f>'KW 6'!S7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46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4">
        <f>'KW 6'!S9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5">
        <f>'KW 6'!S10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5">
        <f>'KW 6'!S11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6">
        <f>'KW 6'!S12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47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ht="16.350000000000001" customHeight="1" x14ac:dyDescent="0.3">
      <c r="A14" s="19" t="str">
        <f>Start!A14</f>
        <v>Vorgängerinstitute</v>
      </c>
      <c r="B14" s="134">
        <f>'KW 6'!S14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6.350000000000001" customHeight="1" thickBot="1" x14ac:dyDescent="0.35">
      <c r="A15" s="29" t="str">
        <f>Start!A15</f>
        <v>Einfachaufträge</v>
      </c>
      <c r="B15" s="136">
        <f>'KW 6'!S15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16.350000000000001" hidden="1" customHeight="1" thickBot="1" x14ac:dyDescent="0.35">
      <c r="A16" s="34"/>
      <c r="B16" s="147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6.350000000000001" hidden="1" customHeight="1" thickBot="1" x14ac:dyDescent="0.35">
      <c r="A17" s="41">
        <f>Start!A17</f>
        <v>0</v>
      </c>
      <c r="B17" s="139">
        <f>'KW 6'!S17</f>
        <v>0</v>
      </c>
      <c r="C17" s="70">
        <v>0</v>
      </c>
      <c r="D17" s="70">
        <v>0</v>
      </c>
      <c r="E17" s="70">
        <v>0</v>
      </c>
      <c r="F17" s="70">
        <v>0</v>
      </c>
      <c r="G17" s="70">
        <v>0</v>
      </c>
      <c r="H17" s="70">
        <v>0</v>
      </c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73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39">
        <f>'KW 6'!S20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46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4">
        <f>'KW 6'!S22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>C22+E22+G22+I22+K22+M22+O22</f>
        <v>0</v>
      </c>
      <c r="R22" s="21">
        <f>D22+F22+H22+J22+L22+N22+P22</f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5">
        <f>'KW 6'!S23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ref="Q23:R23" si="12">C23+E23+G23+I23+K23+M23+O23</f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6">
        <f>'KW 6'!S24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>C24+E24+G24+I24+K24+M24+O24</f>
        <v>0</v>
      </c>
      <c r="R24" s="31">
        <f>D24+F24+H24+J24+L24+N24+P24</f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46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48">
        <f>'KW 6'!S26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5">
        <f>'KW 6'!S27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49">
        <f>'KW 6'!S28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39">
        <f>'KW 6'!S30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74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B32" s="144"/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>SUM(I22:I30)+I20+I18</f>
        <v>0</v>
      </c>
      <c r="J33" s="58">
        <f>SUM(J22:J30)+J20+J18</f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B34" s="144"/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4">
        <f>'KW 6'!S35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672" priority="12">
      <formula>Wochetag($C$3:$P$3,2)&gt;5</formula>
    </cfRule>
  </conditionalFormatting>
  <conditionalFormatting sqref="K25:L25 K29:L29">
    <cfRule type="expression" dxfId="671" priority="11">
      <formula>Wochetag($C$3:$P$3,2)&gt;5</formula>
    </cfRule>
  </conditionalFormatting>
  <conditionalFormatting sqref="C25:J25 C29:J29">
    <cfRule type="expression" dxfId="670" priority="10">
      <formula>Wochetag($C$3:$P$3,2)&gt;5</formula>
    </cfRule>
  </conditionalFormatting>
  <conditionalFormatting sqref="M29:P29">
    <cfRule type="expression" dxfId="669" priority="9">
      <formula>Wochetag($C$3:$P$3,2)&gt;5</formula>
    </cfRule>
  </conditionalFormatting>
  <conditionalFormatting sqref="M11:P11">
    <cfRule type="expression" dxfId="668" priority="8">
      <formula>Wochetag($C$3:$P$3,2)&gt;5</formula>
    </cfRule>
  </conditionalFormatting>
  <conditionalFormatting sqref="C9:L12">
    <cfRule type="expression" dxfId="667" priority="7">
      <formula>Wochetag($C$3:$P$3,2)&gt;5</formula>
    </cfRule>
  </conditionalFormatting>
  <conditionalFormatting sqref="C14:L15">
    <cfRule type="expression" dxfId="666" priority="6">
      <formula>Wochetag($C$3:$P$3,2)&gt;5</formula>
    </cfRule>
  </conditionalFormatting>
  <conditionalFormatting sqref="C17:L17">
    <cfRule type="expression" dxfId="665" priority="5">
      <formula>Wochetag($C$3:$P$3,2)&gt;5</formula>
    </cfRule>
  </conditionalFormatting>
  <conditionalFormatting sqref="C20:L20">
    <cfRule type="expression" dxfId="664" priority="4">
      <formula>Wochetag($C$3:$P$3,2)&gt;5</formula>
    </cfRule>
  </conditionalFormatting>
  <conditionalFormatting sqref="C22:L24">
    <cfRule type="expression" dxfId="663" priority="3">
      <formula>Wochetag($C$3:$P$3,2)&gt;5</formula>
    </cfRule>
  </conditionalFormatting>
  <conditionalFormatting sqref="C26:L28">
    <cfRule type="expression" dxfId="662" priority="2">
      <formula>Wochetag($C$3:$P$3,2)&gt;5</formula>
    </cfRule>
  </conditionalFormatting>
  <conditionalFormatting sqref="C30:L30">
    <cfRule type="expression" dxfId="661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U37"/>
  <sheetViews>
    <sheetView zoomScale="98" zoomScaleNormal="98" workbookViewId="0">
      <selection activeCell="O35" sqref="O35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2" customWidth="1"/>
    <col min="3" max="16" width="10.77734375" style="2" customWidth="1"/>
    <col min="17" max="18" width="9.77734375" style="2" customWidth="1"/>
    <col min="19" max="16384" width="10.5546875" style="2"/>
  </cols>
  <sheetData>
    <row r="1" spans="1:21" x14ac:dyDescent="0.3">
      <c r="A1" s="6"/>
      <c r="B1" s="12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B2" s="13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77" t="s">
        <v>20</v>
      </c>
      <c r="B3" s="177" t="s">
        <v>21</v>
      </c>
      <c r="C3" s="91">
        <f>'KW 1'!$C$3+49</f>
        <v>44249</v>
      </c>
      <c r="D3" s="92">
        <f>C3</f>
        <v>44249</v>
      </c>
      <c r="E3" s="91">
        <f>C3+1</f>
        <v>44250</v>
      </c>
      <c r="F3" s="92">
        <f>E3</f>
        <v>44250</v>
      </c>
      <c r="G3" s="91">
        <f>C3+2</f>
        <v>44251</v>
      </c>
      <c r="H3" s="92">
        <f>G3</f>
        <v>44251</v>
      </c>
      <c r="I3" s="91">
        <f>C3+3</f>
        <v>44252</v>
      </c>
      <c r="J3" s="92">
        <f>I3</f>
        <v>44252</v>
      </c>
      <c r="K3" s="91">
        <f>C3+4</f>
        <v>44253</v>
      </c>
      <c r="L3" s="92">
        <f>K3</f>
        <v>44253</v>
      </c>
      <c r="M3" s="91">
        <f>C3+5</f>
        <v>44254</v>
      </c>
      <c r="N3" s="92">
        <f>M3</f>
        <v>44254</v>
      </c>
      <c r="O3" s="91">
        <f>C3+6</f>
        <v>44255</v>
      </c>
      <c r="P3" s="92">
        <f>O3</f>
        <v>44255</v>
      </c>
      <c r="Q3" s="14" t="s">
        <v>0</v>
      </c>
      <c r="R3" s="15" t="s">
        <v>0</v>
      </c>
      <c r="S3" s="177" t="s">
        <v>1</v>
      </c>
      <c r="T3" s="177" t="s">
        <v>2</v>
      </c>
      <c r="U3" s="175" t="s">
        <v>4</v>
      </c>
    </row>
    <row r="4" spans="1:21" ht="15" thickBot="1" x14ac:dyDescent="0.35">
      <c r="A4" s="178"/>
      <c r="B4" s="178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76"/>
    </row>
    <row r="5" spans="1:21" x14ac:dyDescent="0.3">
      <c r="A5" s="19" t="str">
        <f>Start!A5</f>
        <v>Postbearbeitung Bestand</v>
      </c>
      <c r="B5" s="134">
        <f>'KW 7'!S5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5">
        <f>'KW 7'!S6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6">
        <f>'KW 7'!S7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5">
        <f>'KW 7'!S9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5">
        <f>'KW 7'!S10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5">
        <f>'KW 7'!S11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5">
        <f>'KW 7'!S12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5">
        <f>'KW 7'!S14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" thickBot="1" x14ac:dyDescent="0.35">
      <c r="A15" s="29" t="str">
        <f>Start!A15</f>
        <v>Einfachaufträge</v>
      </c>
      <c r="B15" s="135">
        <f>'KW 7'!S15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5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5">
        <f>'KW 7'!S17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39">
        <f>'KW 7'!S20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4">
        <f>'KW 7'!S22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5">
        <f>'KW 7'!S23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6">
        <f>'KW 7'!S24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4">
        <f>'KW 7'!S26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5">
        <f>'KW 7'!S27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6">
        <f>'KW 7'!S28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39">
        <f>'KW 7'!S30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B32" s="144"/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B34" s="144"/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4">
        <f>'KW 7'!S35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660" priority="12">
      <formula>Wochetag($C$3:$P$3,2)&gt;5</formula>
    </cfRule>
  </conditionalFormatting>
  <conditionalFormatting sqref="K25:L25 K29:L29">
    <cfRule type="expression" dxfId="659" priority="11">
      <formula>Wochetag($C$3:$P$3,2)&gt;5</formula>
    </cfRule>
  </conditionalFormatting>
  <conditionalFormatting sqref="C25:J25 C29:J29">
    <cfRule type="expression" dxfId="658" priority="10">
      <formula>Wochetag($C$3:$P$3,2)&gt;5</formula>
    </cfRule>
  </conditionalFormatting>
  <conditionalFormatting sqref="M29:P29">
    <cfRule type="expression" dxfId="657" priority="9">
      <formula>Wochetag($C$3:$P$3,2)&gt;5</formula>
    </cfRule>
  </conditionalFormatting>
  <conditionalFormatting sqref="M11:P11">
    <cfRule type="expression" dxfId="656" priority="8">
      <formula>Wochetag($C$3:$P$3,2)&gt;5</formula>
    </cfRule>
  </conditionalFormatting>
  <conditionalFormatting sqref="C9:L12">
    <cfRule type="expression" dxfId="655" priority="7">
      <formula>Wochetag($C$3:$P$3,2)&gt;5</formula>
    </cfRule>
  </conditionalFormatting>
  <conditionalFormatting sqref="C14:L15">
    <cfRule type="expression" dxfId="654" priority="6">
      <formula>Wochetag($C$3:$P$3,2)&gt;5</formula>
    </cfRule>
  </conditionalFormatting>
  <conditionalFormatting sqref="C17:L17">
    <cfRule type="expression" dxfId="653" priority="5">
      <formula>Wochetag($C$3:$P$3,2)&gt;5</formula>
    </cfRule>
  </conditionalFormatting>
  <conditionalFormatting sqref="C20:L20">
    <cfRule type="expression" dxfId="652" priority="4">
      <formula>Wochetag($C$3:$P$3,2)&gt;5</formula>
    </cfRule>
  </conditionalFormatting>
  <conditionalFormatting sqref="C22:L24">
    <cfRule type="expression" dxfId="651" priority="3">
      <formula>Wochetag($C$3:$P$3,2)&gt;5</formula>
    </cfRule>
  </conditionalFormatting>
  <conditionalFormatting sqref="C26:L28">
    <cfRule type="expression" dxfId="650" priority="2">
      <formula>Wochetag($C$3:$P$3,2)&gt;5</formula>
    </cfRule>
  </conditionalFormatting>
  <conditionalFormatting sqref="C30:L30">
    <cfRule type="expression" dxfId="649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U37"/>
  <sheetViews>
    <sheetView zoomScale="102" zoomScaleNormal="102" workbookViewId="0">
      <selection activeCell="A5" sqref="A5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2" customWidth="1"/>
    <col min="3" max="16" width="10.77734375" style="2" customWidth="1"/>
    <col min="17" max="18" width="9.77734375" style="2" customWidth="1"/>
    <col min="19" max="16384" width="10.5546875" style="2"/>
  </cols>
  <sheetData>
    <row r="1" spans="1:21" x14ac:dyDescent="0.3">
      <c r="A1" s="6"/>
      <c r="B1" s="12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B2" s="13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77" t="s">
        <v>20</v>
      </c>
      <c r="B3" s="177" t="s">
        <v>21</v>
      </c>
      <c r="C3" s="91">
        <f>'KW 1'!$C$3+56</f>
        <v>44256</v>
      </c>
      <c r="D3" s="92">
        <f>C3</f>
        <v>44256</v>
      </c>
      <c r="E3" s="91">
        <f>C3+1</f>
        <v>44257</v>
      </c>
      <c r="F3" s="92">
        <f>E3</f>
        <v>44257</v>
      </c>
      <c r="G3" s="91">
        <f>C3+2</f>
        <v>44258</v>
      </c>
      <c r="H3" s="92">
        <f>G3</f>
        <v>44258</v>
      </c>
      <c r="I3" s="91">
        <f>C3+3</f>
        <v>44259</v>
      </c>
      <c r="J3" s="92">
        <f>I3</f>
        <v>44259</v>
      </c>
      <c r="K3" s="91">
        <f>C3+4</f>
        <v>44260</v>
      </c>
      <c r="L3" s="92">
        <f>K3</f>
        <v>44260</v>
      </c>
      <c r="M3" s="91">
        <f>C3+5</f>
        <v>44261</v>
      </c>
      <c r="N3" s="92">
        <f>M3</f>
        <v>44261</v>
      </c>
      <c r="O3" s="91">
        <f>C3+6</f>
        <v>44262</v>
      </c>
      <c r="P3" s="92">
        <f>O3</f>
        <v>44262</v>
      </c>
      <c r="Q3" s="14" t="s">
        <v>0</v>
      </c>
      <c r="R3" s="15" t="s">
        <v>0</v>
      </c>
      <c r="S3" s="177" t="s">
        <v>1</v>
      </c>
      <c r="T3" s="177" t="s">
        <v>2</v>
      </c>
      <c r="U3" s="175" t="s">
        <v>4</v>
      </c>
    </row>
    <row r="4" spans="1:21" ht="15" thickBot="1" x14ac:dyDescent="0.35">
      <c r="A4" s="178"/>
      <c r="B4" s="178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76"/>
    </row>
    <row r="5" spans="1:21" x14ac:dyDescent="0.3">
      <c r="A5" s="19" t="str">
        <f>Start!A5</f>
        <v>Postbearbeitung Bestand</v>
      </c>
      <c r="B5" s="134">
        <f>'KW 8'!S5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5">
        <f>'KW 8'!S6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6">
        <f>'KW 8'!S7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4">
        <f>'KW 8'!S9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5">
        <f>'KW 8'!S10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5">
        <f>'KW 8'!S11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6">
        <f>'KW 8'!S12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4">
        <f>'KW 8'!S14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" thickBot="1" x14ac:dyDescent="0.35">
      <c r="A15" s="29" t="str">
        <f>Start!A15</f>
        <v>Einfachaufträge</v>
      </c>
      <c r="B15" s="136">
        <f>'KW 8'!S15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5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6">
        <f>'KW 8'!S17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39">
        <f>'KW 8'!S20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4">
        <f>'KW 8'!S22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5">
        <f>'KW 8'!S23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6">
        <f>'KW 8'!S24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4">
        <f>'KW 8'!S26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5">
        <f>'KW 8'!S27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6">
        <f>'KW 8'!S28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39">
        <f>'KW 8'!S30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B32" s="144"/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B34" s="144"/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4">
        <f>'KW 8'!S35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648" priority="12">
      <formula>Wochetag($C$3:$P$3,2)&gt;5</formula>
    </cfRule>
  </conditionalFormatting>
  <conditionalFormatting sqref="K25:L25 K29:L29">
    <cfRule type="expression" dxfId="647" priority="11">
      <formula>Wochetag($C$3:$P$3,2)&gt;5</formula>
    </cfRule>
  </conditionalFormatting>
  <conditionalFormatting sqref="C25:J25 C29:J29">
    <cfRule type="expression" dxfId="646" priority="10">
      <formula>Wochetag($C$3:$P$3,2)&gt;5</formula>
    </cfRule>
  </conditionalFormatting>
  <conditionalFormatting sqref="M29:P29">
    <cfRule type="expression" dxfId="645" priority="9">
      <formula>Wochetag($C$3:$P$3,2)&gt;5</formula>
    </cfRule>
  </conditionalFormatting>
  <conditionalFormatting sqref="M11:P11">
    <cfRule type="expression" dxfId="644" priority="8">
      <formula>Wochetag($C$3:$P$3,2)&gt;5</formula>
    </cfRule>
  </conditionalFormatting>
  <conditionalFormatting sqref="C9:L12">
    <cfRule type="expression" dxfId="643" priority="7">
      <formula>Wochetag($C$3:$P$3,2)&gt;5</formula>
    </cfRule>
  </conditionalFormatting>
  <conditionalFormatting sqref="C14:L15">
    <cfRule type="expression" dxfId="642" priority="6">
      <formula>Wochetag($C$3:$P$3,2)&gt;5</formula>
    </cfRule>
  </conditionalFormatting>
  <conditionalFormatting sqref="C17:L17">
    <cfRule type="expression" dxfId="641" priority="5">
      <formula>Wochetag($C$3:$P$3,2)&gt;5</formula>
    </cfRule>
  </conditionalFormatting>
  <conditionalFormatting sqref="C20:L20">
    <cfRule type="expression" dxfId="640" priority="4">
      <formula>Wochetag($C$3:$P$3,2)&gt;5</formula>
    </cfRule>
  </conditionalFormatting>
  <conditionalFormatting sqref="C22:L24">
    <cfRule type="expression" dxfId="639" priority="3">
      <formula>Wochetag($C$3:$P$3,2)&gt;5</formula>
    </cfRule>
  </conditionalFormatting>
  <conditionalFormatting sqref="C26:L28">
    <cfRule type="expression" dxfId="638" priority="2">
      <formula>Wochetag($C$3:$P$3,2)&gt;5</formula>
    </cfRule>
  </conditionalFormatting>
  <conditionalFormatting sqref="C30:L30">
    <cfRule type="expression" dxfId="637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U37"/>
  <sheetViews>
    <sheetView workbookViewId="0">
      <selection activeCell="C5" sqref="C5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2" customWidth="1"/>
    <col min="3" max="16" width="10.77734375" style="2" customWidth="1"/>
    <col min="17" max="18" width="9.77734375" style="2" customWidth="1"/>
    <col min="19" max="16384" width="10.5546875" style="2"/>
  </cols>
  <sheetData>
    <row r="1" spans="1:21" x14ac:dyDescent="0.3">
      <c r="A1" s="6"/>
      <c r="B1" s="12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B2" s="13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77" t="s">
        <v>20</v>
      </c>
      <c r="B3" s="177" t="s">
        <v>21</v>
      </c>
      <c r="C3" s="91">
        <f>'KW 1'!$C$3+63</f>
        <v>44263</v>
      </c>
      <c r="D3" s="92">
        <f>C3</f>
        <v>44263</v>
      </c>
      <c r="E3" s="91">
        <f>C3+1</f>
        <v>44264</v>
      </c>
      <c r="F3" s="92">
        <f>E3</f>
        <v>44264</v>
      </c>
      <c r="G3" s="91">
        <f>C3+2</f>
        <v>44265</v>
      </c>
      <c r="H3" s="92">
        <f>G3</f>
        <v>44265</v>
      </c>
      <c r="I3" s="91">
        <f>C3+3</f>
        <v>44266</v>
      </c>
      <c r="J3" s="92">
        <f>I3</f>
        <v>44266</v>
      </c>
      <c r="K3" s="91">
        <f>C3+4</f>
        <v>44267</v>
      </c>
      <c r="L3" s="92">
        <f>K3</f>
        <v>44267</v>
      </c>
      <c r="M3" s="91">
        <f>C3+5</f>
        <v>44268</v>
      </c>
      <c r="N3" s="92">
        <f>M3</f>
        <v>44268</v>
      </c>
      <c r="O3" s="91">
        <f>C3+6</f>
        <v>44269</v>
      </c>
      <c r="P3" s="92">
        <f>O3</f>
        <v>44269</v>
      </c>
      <c r="Q3" s="14" t="s">
        <v>0</v>
      </c>
      <c r="R3" s="15" t="s">
        <v>0</v>
      </c>
      <c r="S3" s="177" t="s">
        <v>1</v>
      </c>
      <c r="T3" s="177" t="s">
        <v>2</v>
      </c>
      <c r="U3" s="175" t="s">
        <v>4</v>
      </c>
    </row>
    <row r="4" spans="1:21" ht="15" thickBot="1" x14ac:dyDescent="0.35">
      <c r="A4" s="178"/>
      <c r="B4" s="178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76"/>
    </row>
    <row r="5" spans="1:21" x14ac:dyDescent="0.3">
      <c r="A5" s="19" t="str">
        <f>Start!A5</f>
        <v>Postbearbeitung Bestand</v>
      </c>
      <c r="B5" s="134">
        <f>'KW 9'!S5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5">
        <f>'KW 9'!S6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6">
        <f>'KW 9'!S7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4">
        <f>'KW 9'!S9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5">
        <f>'KW 9'!S10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5">
        <f>'KW 9'!S11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6">
        <f>'KW 9'!S12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4">
        <f>'KW 9'!S14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" thickBot="1" x14ac:dyDescent="0.35">
      <c r="A15" s="29" t="str">
        <f>Start!A15</f>
        <v>Einfachaufträge</v>
      </c>
      <c r="B15" s="136">
        <f>'KW 9'!S15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5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6">
        <f>'KW 9'!S17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39">
        <f>'KW 9'!S20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4">
        <f>'KW 9'!S22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5">
        <f>'KW 9'!S23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6">
        <f>'KW 9'!S24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4">
        <f>'KW 9'!S26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5">
        <f>'KW 9'!S27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6">
        <f>'KW 9'!S28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39">
        <f>'KW 9'!S30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B32" s="144"/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B34" s="144"/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4">
        <f>'KW 9'!S35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636" priority="12">
      <formula>Wochetag($C$3:$P$3,2)&gt;5</formula>
    </cfRule>
  </conditionalFormatting>
  <conditionalFormatting sqref="K25:L25 K29:L29">
    <cfRule type="expression" dxfId="635" priority="11">
      <formula>Wochetag($C$3:$P$3,2)&gt;5</formula>
    </cfRule>
  </conditionalFormatting>
  <conditionalFormatting sqref="C25:J25 C29:J29">
    <cfRule type="expression" dxfId="634" priority="10">
      <formula>Wochetag($C$3:$P$3,2)&gt;5</formula>
    </cfRule>
  </conditionalFormatting>
  <conditionalFormatting sqref="M29:P29">
    <cfRule type="expression" dxfId="633" priority="9">
      <formula>Wochetag($C$3:$P$3,2)&gt;5</formula>
    </cfRule>
  </conditionalFormatting>
  <conditionalFormatting sqref="M11:P11">
    <cfRule type="expression" dxfId="632" priority="8">
      <formula>Wochetag($C$3:$P$3,2)&gt;5</formula>
    </cfRule>
  </conditionalFormatting>
  <conditionalFormatting sqref="C9:L12">
    <cfRule type="expression" dxfId="631" priority="7">
      <formula>Wochetag($C$3:$P$3,2)&gt;5</formula>
    </cfRule>
  </conditionalFormatting>
  <conditionalFormatting sqref="C14:L15">
    <cfRule type="expression" dxfId="630" priority="6">
      <formula>Wochetag($C$3:$P$3,2)&gt;5</formula>
    </cfRule>
  </conditionalFormatting>
  <conditionalFormatting sqref="C17:L17">
    <cfRule type="expression" dxfId="629" priority="5">
      <formula>Wochetag($C$3:$P$3,2)&gt;5</formula>
    </cfRule>
  </conditionalFormatting>
  <conditionalFormatting sqref="C20:L20">
    <cfRule type="expression" dxfId="628" priority="4">
      <formula>Wochetag($C$3:$P$3,2)&gt;5</formula>
    </cfRule>
  </conditionalFormatting>
  <conditionalFormatting sqref="C22:L24">
    <cfRule type="expression" dxfId="627" priority="3">
      <formula>Wochetag($C$3:$P$3,2)&gt;5</formula>
    </cfRule>
  </conditionalFormatting>
  <conditionalFormatting sqref="C26:L28">
    <cfRule type="expression" dxfId="626" priority="2">
      <formula>Wochetag($C$3:$P$3,2)&gt;5</formula>
    </cfRule>
  </conditionalFormatting>
  <conditionalFormatting sqref="C30:L30">
    <cfRule type="expression" dxfId="625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U37"/>
  <sheetViews>
    <sheetView workbookViewId="0">
      <selection activeCell="A35" sqref="A35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2" customWidth="1"/>
    <col min="3" max="16" width="10.77734375" style="2" customWidth="1"/>
    <col min="17" max="18" width="9.77734375" style="2" customWidth="1"/>
    <col min="19" max="16384" width="10.5546875" style="2"/>
  </cols>
  <sheetData>
    <row r="1" spans="1:21" x14ac:dyDescent="0.3">
      <c r="A1" s="6"/>
      <c r="B1" s="12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B2" s="13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77" t="s">
        <v>20</v>
      </c>
      <c r="B3" s="177" t="s">
        <v>21</v>
      </c>
      <c r="C3" s="91">
        <f>'KW 1'!$C$3+70</f>
        <v>44270</v>
      </c>
      <c r="D3" s="92">
        <f>C3</f>
        <v>44270</v>
      </c>
      <c r="E3" s="91">
        <f>C3+1</f>
        <v>44271</v>
      </c>
      <c r="F3" s="92">
        <f>E3</f>
        <v>44271</v>
      </c>
      <c r="G3" s="91">
        <f>C3+2</f>
        <v>44272</v>
      </c>
      <c r="H3" s="92">
        <f>G3</f>
        <v>44272</v>
      </c>
      <c r="I3" s="91">
        <f>C3+3</f>
        <v>44273</v>
      </c>
      <c r="J3" s="92">
        <f>I3</f>
        <v>44273</v>
      </c>
      <c r="K3" s="91">
        <f>C3+4</f>
        <v>44274</v>
      </c>
      <c r="L3" s="92">
        <f>K3</f>
        <v>44274</v>
      </c>
      <c r="M3" s="91">
        <f>C3+5</f>
        <v>44275</v>
      </c>
      <c r="N3" s="92">
        <f>M3</f>
        <v>44275</v>
      </c>
      <c r="O3" s="91">
        <f>C3+6</f>
        <v>44276</v>
      </c>
      <c r="P3" s="92">
        <f>O3</f>
        <v>44276</v>
      </c>
      <c r="Q3" s="14" t="s">
        <v>0</v>
      </c>
      <c r="R3" s="15" t="s">
        <v>0</v>
      </c>
      <c r="S3" s="177" t="s">
        <v>1</v>
      </c>
      <c r="T3" s="177" t="s">
        <v>2</v>
      </c>
      <c r="U3" s="175" t="s">
        <v>4</v>
      </c>
    </row>
    <row r="4" spans="1:21" ht="15" thickBot="1" x14ac:dyDescent="0.35">
      <c r="A4" s="178"/>
      <c r="B4" s="178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76"/>
    </row>
    <row r="5" spans="1:21" x14ac:dyDescent="0.3">
      <c r="A5" s="19" t="str">
        <f>Start!A5</f>
        <v>Postbearbeitung Bestand</v>
      </c>
      <c r="B5" s="134">
        <f>'KW 10'!S5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5">
        <f>'KW 10'!S6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6">
        <f>'KW 10'!S7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4">
        <f>'KW 10'!S9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5">
        <f>'KW 10'!S10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5">
        <f>'KW 10'!S11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6">
        <f>'KW 10'!S12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4">
        <f>'KW 10'!S14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" thickBot="1" x14ac:dyDescent="0.35">
      <c r="A15" s="29" t="str">
        <f>Start!A15</f>
        <v>Einfachaufträge</v>
      </c>
      <c r="B15" s="136">
        <f>'KW 10'!S15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5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6">
        <f>'KW 10'!S17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39">
        <f>'KW 10'!S20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4">
        <f>'KW 10'!S22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5">
        <f>'KW 10'!S23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6">
        <f>'KW 10'!S24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4">
        <f>'KW 10'!S26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5">
        <f>'KW 10'!S27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6">
        <f>'KW 10'!S28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39">
        <f>'KW 10'!S30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B32" s="144"/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B34" s="144"/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4">
        <f>'KW 10'!S35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624" priority="12">
      <formula>Wochetag($C$3:$P$3,2)&gt;5</formula>
    </cfRule>
  </conditionalFormatting>
  <conditionalFormatting sqref="K25:L25 K29:L29">
    <cfRule type="expression" dxfId="623" priority="11">
      <formula>Wochetag($C$3:$P$3,2)&gt;5</formula>
    </cfRule>
  </conditionalFormatting>
  <conditionalFormatting sqref="C25:J25 C29:J29">
    <cfRule type="expression" dxfId="622" priority="10">
      <formula>Wochetag($C$3:$P$3,2)&gt;5</formula>
    </cfRule>
  </conditionalFormatting>
  <conditionalFormatting sqref="M29:P29">
    <cfRule type="expression" dxfId="621" priority="9">
      <formula>Wochetag($C$3:$P$3,2)&gt;5</formula>
    </cfRule>
  </conditionalFormatting>
  <conditionalFormatting sqref="M11:P11">
    <cfRule type="expression" dxfId="620" priority="8">
      <formula>Wochetag($C$3:$P$3,2)&gt;5</formula>
    </cfRule>
  </conditionalFormatting>
  <conditionalFormatting sqref="C9:L12">
    <cfRule type="expression" dxfId="619" priority="7">
      <formula>Wochetag($C$3:$P$3,2)&gt;5</formula>
    </cfRule>
  </conditionalFormatting>
  <conditionalFormatting sqref="C14:L15">
    <cfRule type="expression" dxfId="618" priority="6">
      <formula>Wochetag($C$3:$P$3,2)&gt;5</formula>
    </cfRule>
  </conditionalFormatting>
  <conditionalFormatting sqref="C17:L17">
    <cfRule type="expression" dxfId="617" priority="5">
      <formula>Wochetag($C$3:$P$3,2)&gt;5</formula>
    </cfRule>
  </conditionalFormatting>
  <conditionalFormatting sqref="C20:L20">
    <cfRule type="expression" dxfId="616" priority="4">
      <formula>Wochetag($C$3:$P$3,2)&gt;5</formula>
    </cfRule>
  </conditionalFormatting>
  <conditionalFormatting sqref="C22:L24">
    <cfRule type="expression" dxfId="615" priority="3">
      <formula>Wochetag($C$3:$P$3,2)&gt;5</formula>
    </cfRule>
  </conditionalFormatting>
  <conditionalFormatting sqref="C26:L28">
    <cfRule type="expression" dxfId="614" priority="2">
      <formula>Wochetag($C$3:$P$3,2)&gt;5</formula>
    </cfRule>
  </conditionalFormatting>
  <conditionalFormatting sqref="C30:L30">
    <cfRule type="expression" dxfId="613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U37"/>
  <sheetViews>
    <sheetView workbookViewId="0">
      <selection activeCell="C5" sqref="C5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144" customWidth="1"/>
    <col min="3" max="16" width="10.77734375" style="2" customWidth="1"/>
    <col min="17" max="18" width="9.77734375" style="2" customWidth="1"/>
    <col min="19" max="16384" width="10.5546875" style="2"/>
  </cols>
  <sheetData>
    <row r="1" spans="1:21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77" t="s">
        <v>20</v>
      </c>
      <c r="B3" s="181" t="s">
        <v>21</v>
      </c>
      <c r="C3" s="91">
        <f>'KW 1'!$C$3+77</f>
        <v>44277</v>
      </c>
      <c r="D3" s="92">
        <f>C3</f>
        <v>44277</v>
      </c>
      <c r="E3" s="91">
        <f>C3+1</f>
        <v>44278</v>
      </c>
      <c r="F3" s="92">
        <f>E3</f>
        <v>44278</v>
      </c>
      <c r="G3" s="91">
        <f>C3+2</f>
        <v>44279</v>
      </c>
      <c r="H3" s="92">
        <f>G3</f>
        <v>44279</v>
      </c>
      <c r="I3" s="91">
        <f>C3+3</f>
        <v>44280</v>
      </c>
      <c r="J3" s="92">
        <f>I3</f>
        <v>44280</v>
      </c>
      <c r="K3" s="91">
        <f>C3+4</f>
        <v>44281</v>
      </c>
      <c r="L3" s="92">
        <f>K3</f>
        <v>44281</v>
      </c>
      <c r="M3" s="91">
        <f>C3+5</f>
        <v>44282</v>
      </c>
      <c r="N3" s="92">
        <f>M3</f>
        <v>44282</v>
      </c>
      <c r="O3" s="91">
        <f>C3+6</f>
        <v>44283</v>
      </c>
      <c r="P3" s="92">
        <f>O3</f>
        <v>44283</v>
      </c>
      <c r="Q3" s="14" t="s">
        <v>0</v>
      </c>
      <c r="R3" s="15" t="s">
        <v>0</v>
      </c>
      <c r="S3" s="177" t="s">
        <v>1</v>
      </c>
      <c r="T3" s="177" t="s">
        <v>2</v>
      </c>
      <c r="U3" s="175" t="s">
        <v>4</v>
      </c>
    </row>
    <row r="4" spans="1:21" ht="15" thickBot="1" x14ac:dyDescent="0.35">
      <c r="A4" s="178"/>
      <c r="B4" s="182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76"/>
    </row>
    <row r="5" spans="1:21" x14ac:dyDescent="0.3">
      <c r="A5" s="19" t="str">
        <f>Start!A5</f>
        <v>Postbearbeitung Bestand</v>
      </c>
      <c r="B5" s="134">
        <f>'KW 11'!S5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5">
        <f>'KW 11'!S6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6">
        <f>'KW 11'!S7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4">
        <f>'KW 11'!S9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5">
        <f>'KW 11'!S10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5">
        <f>'KW 11'!S11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6">
        <f>'KW 11'!S12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4">
        <f>'KW 11'!S14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" thickBot="1" x14ac:dyDescent="0.35">
      <c r="A15" s="29" t="str">
        <f>Start!A15</f>
        <v>Einfachaufträge</v>
      </c>
      <c r="B15" s="136">
        <f>'KW 11'!S15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5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6">
        <f>'KW 11'!S17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39">
        <f>'KW 11'!S20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4">
        <f>'KW 11'!S22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5">
        <f>'KW 11'!S23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6">
        <f>'KW 11'!S24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4">
        <f>'KW 11'!S26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5">
        <f>'KW 11'!S27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6">
        <f>'KW 11'!S28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39">
        <f>'KW 11'!S30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4">
        <f>'KW 11'!S35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612" priority="12">
      <formula>Wochetag($C$3:$P$3,2)&gt;5</formula>
    </cfRule>
  </conditionalFormatting>
  <conditionalFormatting sqref="K25:L25 K29:L29">
    <cfRule type="expression" dxfId="611" priority="11">
      <formula>Wochetag($C$3:$P$3,2)&gt;5</formula>
    </cfRule>
  </conditionalFormatting>
  <conditionalFormatting sqref="C25:J25 C29:J29">
    <cfRule type="expression" dxfId="610" priority="10">
      <formula>Wochetag($C$3:$P$3,2)&gt;5</formula>
    </cfRule>
  </conditionalFormatting>
  <conditionalFormatting sqref="M29:P29">
    <cfRule type="expression" dxfId="609" priority="9">
      <formula>Wochetag($C$3:$P$3,2)&gt;5</formula>
    </cfRule>
  </conditionalFormatting>
  <conditionalFormatting sqref="M11:P11">
    <cfRule type="expression" dxfId="608" priority="8">
      <formula>Wochetag($C$3:$P$3,2)&gt;5</formula>
    </cfRule>
  </conditionalFormatting>
  <conditionalFormatting sqref="C9:L12">
    <cfRule type="expression" dxfId="607" priority="7">
      <formula>Wochetag($C$3:$P$3,2)&gt;5</formula>
    </cfRule>
  </conditionalFormatting>
  <conditionalFormatting sqref="C14:L15">
    <cfRule type="expression" dxfId="606" priority="6">
      <formula>Wochetag($C$3:$P$3,2)&gt;5</formula>
    </cfRule>
  </conditionalFormatting>
  <conditionalFormatting sqref="C17:L17">
    <cfRule type="expression" dxfId="605" priority="5">
      <formula>Wochetag($C$3:$P$3,2)&gt;5</formula>
    </cfRule>
  </conditionalFormatting>
  <conditionalFormatting sqref="C20:L20">
    <cfRule type="expression" dxfId="604" priority="4">
      <formula>Wochetag($C$3:$P$3,2)&gt;5</formula>
    </cfRule>
  </conditionalFormatting>
  <conditionalFormatting sqref="C22:L24">
    <cfRule type="expression" dxfId="603" priority="3">
      <formula>Wochetag($C$3:$P$3,2)&gt;5</formula>
    </cfRule>
  </conditionalFormatting>
  <conditionalFormatting sqref="C26:L28">
    <cfRule type="expression" dxfId="602" priority="2">
      <formula>Wochetag($C$3:$P$3,2)&gt;5</formula>
    </cfRule>
  </conditionalFormatting>
  <conditionalFormatting sqref="C30:L30">
    <cfRule type="expression" dxfId="601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U37"/>
  <sheetViews>
    <sheetView workbookViewId="0">
      <selection activeCell="P35" sqref="P35:P36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1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>Karfreitag</v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>Ostersonntag</v>
      </c>
    </row>
    <row r="3" spans="1:21" ht="15" thickBot="1" x14ac:dyDescent="0.35">
      <c r="A3" s="177" t="s">
        <v>20</v>
      </c>
      <c r="B3" s="181" t="s">
        <v>21</v>
      </c>
      <c r="C3" s="91">
        <f>'KW 1'!$C$3+84</f>
        <v>44284</v>
      </c>
      <c r="D3" s="92">
        <f>C3</f>
        <v>44284</v>
      </c>
      <c r="E3" s="91">
        <f>C3+1</f>
        <v>44285</v>
      </c>
      <c r="F3" s="92">
        <f>E3</f>
        <v>44285</v>
      </c>
      <c r="G3" s="91">
        <f>C3+2</f>
        <v>44286</v>
      </c>
      <c r="H3" s="92">
        <f>G3</f>
        <v>44286</v>
      </c>
      <c r="I3" s="91">
        <f>C3+3</f>
        <v>44287</v>
      </c>
      <c r="J3" s="92">
        <f>I3</f>
        <v>44287</v>
      </c>
      <c r="K3" s="92">
        <f>C3+4</f>
        <v>44288</v>
      </c>
      <c r="L3" s="92">
        <f>K3</f>
        <v>44288</v>
      </c>
      <c r="M3" s="91">
        <f>C3+5</f>
        <v>44289</v>
      </c>
      <c r="N3" s="92">
        <f>M3</f>
        <v>44289</v>
      </c>
      <c r="O3" s="91">
        <f>C3+6</f>
        <v>44290</v>
      </c>
      <c r="P3" s="92">
        <f>O3</f>
        <v>44290</v>
      </c>
      <c r="Q3" s="14" t="s">
        <v>0</v>
      </c>
      <c r="R3" s="15" t="s">
        <v>0</v>
      </c>
      <c r="S3" s="177" t="s">
        <v>1</v>
      </c>
      <c r="T3" s="177" t="s">
        <v>2</v>
      </c>
      <c r="U3" s="175" t="s">
        <v>4</v>
      </c>
    </row>
    <row r="4" spans="1:21" ht="15" thickBot="1" x14ac:dyDescent="0.35">
      <c r="A4" s="178"/>
      <c r="B4" s="182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76"/>
    </row>
    <row r="5" spans="1:21" x14ac:dyDescent="0.3">
      <c r="A5" s="19" t="str">
        <f>Start!A5</f>
        <v>Postbearbeitung Bestand</v>
      </c>
      <c r="B5" s="134">
        <f>'KW 12'!S5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5">
        <f>'KW 12'!S6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6">
        <f>'KW 12'!S7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4">
        <f>'KW 12'!S9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5">
        <f>'KW 12'!S10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5">
        <f>'KW 12'!S11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6">
        <f>'KW 12'!S12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5">
        <f>'KW 12'!S14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" thickBot="1" x14ac:dyDescent="0.35">
      <c r="A15" s="29" t="str">
        <f>Start!A15</f>
        <v>Einfachaufträge</v>
      </c>
      <c r="B15" s="135">
        <f>'KW 12'!S15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5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127"/>
      <c r="L16" s="127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5">
        <f>'KW 12'!S17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128"/>
      <c r="L19" s="128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39">
        <f>'KW 12'!S20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4">
        <f>'KW 12'!S22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5">
        <f>'KW 12'!S23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6">
        <f>'KW 12'!S24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4">
        <f>'KW 12'!S26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5">
        <f>'KW 12'!S27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6">
        <f>'KW 12'!S28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39">
        <f>'KW 12'!S30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K32" s="129"/>
      <c r="L32" s="129"/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59">
        <f>'KW 12'!S35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600" priority="14">
      <formula>Wochetag($C$3:$P$3,2)&gt;5</formula>
    </cfRule>
  </conditionalFormatting>
  <conditionalFormatting sqref="C25:J25 C29:J29">
    <cfRule type="expression" dxfId="599" priority="12">
      <formula>Wochetag($C$3:$P$3,2)&gt;5</formula>
    </cfRule>
  </conditionalFormatting>
  <conditionalFormatting sqref="M29:P29">
    <cfRule type="expression" dxfId="598" priority="11">
      <formula>Wochetag($C$3:$P$3,2)&gt;5</formula>
    </cfRule>
  </conditionalFormatting>
  <conditionalFormatting sqref="M11:P11">
    <cfRule type="expression" dxfId="597" priority="10">
      <formula>Wochetag($C$3:$P$3,2)&gt;5</formula>
    </cfRule>
  </conditionalFormatting>
  <conditionalFormatting sqref="C9:L12">
    <cfRule type="expression" dxfId="596" priority="9">
      <formula>Wochetag($C$3:$P$3,2)&gt;5</formula>
    </cfRule>
  </conditionalFormatting>
  <conditionalFormatting sqref="C14:L15">
    <cfRule type="expression" dxfId="595" priority="8">
      <formula>Wochetag($C$3:$P$3,2)&gt;5</formula>
    </cfRule>
  </conditionalFormatting>
  <conditionalFormatting sqref="C17:L17">
    <cfRule type="expression" dxfId="594" priority="7">
      <formula>Wochetag($C$3:$P$3,2)&gt;5</formula>
    </cfRule>
  </conditionalFormatting>
  <conditionalFormatting sqref="C20:L20">
    <cfRule type="expression" dxfId="593" priority="6">
      <formula>Wochetag($C$3:$P$3,2)&gt;5</formula>
    </cfRule>
  </conditionalFormatting>
  <conditionalFormatting sqref="C22:L24">
    <cfRule type="expression" dxfId="592" priority="5">
      <formula>Wochetag($C$3:$P$3,2)&gt;5</formula>
    </cfRule>
  </conditionalFormatting>
  <conditionalFormatting sqref="C26:L28">
    <cfRule type="expression" dxfId="591" priority="4">
      <formula>Wochetag($C$3:$P$3,2)&gt;5</formula>
    </cfRule>
  </conditionalFormatting>
  <conditionalFormatting sqref="C30:L30">
    <cfRule type="expression" dxfId="590" priority="3">
      <formula>Wochetag($C$3:$P$3,2)&gt;5</formula>
    </cfRule>
  </conditionalFormatting>
  <conditionalFormatting sqref="K25:L25">
    <cfRule type="expression" dxfId="589" priority="2">
      <formula>Wochetag($C$3:$P$3,2)&gt;5</formula>
    </cfRule>
  </conditionalFormatting>
  <conditionalFormatting sqref="K29:L29">
    <cfRule type="expression" dxfId="588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U37"/>
  <sheetViews>
    <sheetView workbookViewId="0">
      <selection activeCell="B35" sqref="B35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6640625" style="2" customWidth="1"/>
    <col min="17" max="18" width="9.77734375" style="2" customWidth="1"/>
    <col min="19" max="16384" width="10.5546875" style="2"/>
  </cols>
  <sheetData>
    <row r="1" spans="1:21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C2" s="122">
        <f>YEAR(C3)</f>
        <v>2021</v>
      </c>
      <c r="D2" s="119" t="str">
        <f>IFERROR(VLOOKUP(C3,Start!$F$2:$G$22,2,0),"")</f>
        <v>Ostermontag</v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77" t="s">
        <v>20</v>
      </c>
      <c r="B3" s="181" t="s">
        <v>21</v>
      </c>
      <c r="C3" s="91">
        <f>'KW 1'!$C$3+91</f>
        <v>44291</v>
      </c>
      <c r="D3" s="92">
        <f>C3</f>
        <v>44291</v>
      </c>
      <c r="E3" s="91">
        <f>C3+1</f>
        <v>44292</v>
      </c>
      <c r="F3" s="92">
        <f>E3</f>
        <v>44292</v>
      </c>
      <c r="G3" s="91">
        <f>C3+2</f>
        <v>44293</v>
      </c>
      <c r="H3" s="92">
        <f>G3</f>
        <v>44293</v>
      </c>
      <c r="I3" s="91">
        <f>C3+3</f>
        <v>44294</v>
      </c>
      <c r="J3" s="92">
        <f>I3</f>
        <v>44294</v>
      </c>
      <c r="K3" s="91">
        <f>C3+4</f>
        <v>44295</v>
      </c>
      <c r="L3" s="92">
        <f>K3</f>
        <v>44295</v>
      </c>
      <c r="M3" s="91">
        <f>C3+5</f>
        <v>44296</v>
      </c>
      <c r="N3" s="92">
        <f>M3</f>
        <v>44296</v>
      </c>
      <c r="O3" s="91">
        <f>C3+6</f>
        <v>44297</v>
      </c>
      <c r="P3" s="92">
        <f>O3</f>
        <v>44297</v>
      </c>
      <c r="Q3" s="14" t="s">
        <v>0</v>
      </c>
      <c r="R3" s="15" t="s">
        <v>0</v>
      </c>
      <c r="S3" s="177" t="s">
        <v>1</v>
      </c>
      <c r="T3" s="177" t="s">
        <v>2</v>
      </c>
      <c r="U3" s="175" t="s">
        <v>4</v>
      </c>
    </row>
    <row r="4" spans="1:21" ht="15" thickBot="1" x14ac:dyDescent="0.35">
      <c r="A4" s="178"/>
      <c r="B4" s="182"/>
      <c r="C4" s="17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76"/>
    </row>
    <row r="5" spans="1:21" x14ac:dyDescent="0.3">
      <c r="A5" s="19" t="str">
        <f>Start!A5</f>
        <v>Postbearbeitung Bestand</v>
      </c>
      <c r="B5" s="134">
        <f>'KW 13'!S5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5">
        <f>'KW 13'!S6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6">
        <f>'KW 13'!S7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4">
        <f>'KW 13'!S9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5">
        <f>'KW 13'!S10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5">
        <f>'KW 13'!S11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6">
        <f>'KW 13'!S12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38"/>
      <c r="C13" s="38"/>
      <c r="D13" s="38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5">
        <f>'KW 13'!S14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" thickBot="1" x14ac:dyDescent="0.35">
      <c r="A15" s="29" t="str">
        <f>Start!A15</f>
        <v>Einfachaufträge</v>
      </c>
      <c r="B15" s="135">
        <f>'KW 13'!S15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5">
      <c r="A16" s="34"/>
      <c r="B16" s="138"/>
      <c r="C16" s="127"/>
      <c r="D16" s="127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5">
        <f>'KW 13'!S17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1"/>
      <c r="C19" s="128"/>
      <c r="D19" s="128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39">
        <f>'KW 13'!S20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4">
        <f>'KW 13'!S22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5">
        <f>'KW 13'!S23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6">
        <f>'KW 13'!S24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4">
        <f>'KW 13'!S26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5">
        <f>'KW 13'!S27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6">
        <f>'KW 13'!S28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39">
        <f>'KW 13'!S30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C32" s="129"/>
      <c r="D32" s="129"/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4">
        <f>'KW 13'!S35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587" priority="12">
      <formula>Wochetag($C$3:$P$3,2)&gt;5</formula>
    </cfRule>
  </conditionalFormatting>
  <conditionalFormatting sqref="K25:L25 K29:L29">
    <cfRule type="expression" dxfId="586" priority="11">
      <formula>Wochetag($C$3:$P$3,2)&gt;5</formula>
    </cfRule>
  </conditionalFormatting>
  <conditionalFormatting sqref="E25:J25 E29:J29">
    <cfRule type="expression" dxfId="585" priority="10">
      <formula>Wochetag($C$3:$P$3,2)&gt;5</formula>
    </cfRule>
  </conditionalFormatting>
  <conditionalFormatting sqref="M29:P29">
    <cfRule type="expression" dxfId="584" priority="9">
      <formula>Wochetag($C$3:$P$3,2)&gt;5</formula>
    </cfRule>
  </conditionalFormatting>
  <conditionalFormatting sqref="M11:P11">
    <cfRule type="expression" dxfId="583" priority="8">
      <formula>Wochetag($C$3:$P$3,2)&gt;5</formula>
    </cfRule>
  </conditionalFormatting>
  <conditionalFormatting sqref="C9:L12">
    <cfRule type="expression" dxfId="582" priority="7">
      <formula>Wochetag($C$3:$P$3,2)&gt;5</formula>
    </cfRule>
  </conditionalFormatting>
  <conditionalFormatting sqref="C14:L15">
    <cfRule type="expression" dxfId="581" priority="6">
      <formula>Wochetag($C$3:$P$3,2)&gt;5</formula>
    </cfRule>
  </conditionalFormatting>
  <conditionalFormatting sqref="C17:L17">
    <cfRule type="expression" dxfId="580" priority="5">
      <formula>Wochetag($C$3:$P$3,2)&gt;5</formula>
    </cfRule>
  </conditionalFormatting>
  <conditionalFormatting sqref="C20:L20">
    <cfRule type="expression" dxfId="579" priority="4">
      <formula>Wochetag($C$3:$P$3,2)&gt;5</formula>
    </cfRule>
  </conditionalFormatting>
  <conditionalFormatting sqref="C22:L24">
    <cfRule type="expression" dxfId="578" priority="3">
      <formula>Wochetag($C$3:$P$3,2)&gt;5</formula>
    </cfRule>
  </conditionalFormatting>
  <conditionalFormatting sqref="C26:L28">
    <cfRule type="expression" dxfId="577" priority="2">
      <formula>Wochetag($C$3:$P$3,2)&gt;5</formula>
    </cfRule>
  </conditionalFormatting>
  <conditionalFormatting sqref="C30:L30">
    <cfRule type="expression" dxfId="576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U37"/>
  <sheetViews>
    <sheetView workbookViewId="0">
      <selection activeCell="C1" sqref="C1:D2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88671875" style="2" customWidth="1"/>
    <col min="17" max="18" width="9.77734375" style="2" customWidth="1"/>
    <col min="19" max="16384" width="10.5546875" style="2"/>
  </cols>
  <sheetData>
    <row r="1" spans="1:21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77" t="s">
        <v>20</v>
      </c>
      <c r="B3" s="181" t="s">
        <v>21</v>
      </c>
      <c r="C3" s="91">
        <f>'KW 1'!$C$3+98</f>
        <v>44298</v>
      </c>
      <c r="D3" s="92">
        <f>C3</f>
        <v>44298</v>
      </c>
      <c r="E3" s="91">
        <f>C3+1</f>
        <v>44299</v>
      </c>
      <c r="F3" s="92">
        <f>E3</f>
        <v>44299</v>
      </c>
      <c r="G3" s="91">
        <f>C3+2</f>
        <v>44300</v>
      </c>
      <c r="H3" s="92">
        <f>G3</f>
        <v>44300</v>
      </c>
      <c r="I3" s="91">
        <f>C3+3</f>
        <v>44301</v>
      </c>
      <c r="J3" s="92">
        <f>I3</f>
        <v>44301</v>
      </c>
      <c r="K3" s="91">
        <f>C3+4</f>
        <v>44302</v>
      </c>
      <c r="L3" s="92">
        <f>K3</f>
        <v>44302</v>
      </c>
      <c r="M3" s="91">
        <f>C3+5</f>
        <v>44303</v>
      </c>
      <c r="N3" s="92">
        <f>M3</f>
        <v>44303</v>
      </c>
      <c r="O3" s="91">
        <f>C3+6</f>
        <v>44304</v>
      </c>
      <c r="P3" s="92">
        <f>O3</f>
        <v>44304</v>
      </c>
      <c r="Q3" s="14" t="s">
        <v>0</v>
      </c>
      <c r="R3" s="15" t="s">
        <v>0</v>
      </c>
      <c r="S3" s="177" t="s">
        <v>1</v>
      </c>
      <c r="T3" s="177" t="s">
        <v>2</v>
      </c>
      <c r="U3" s="175" t="s">
        <v>4</v>
      </c>
    </row>
    <row r="4" spans="1:21" ht="15" thickBot="1" x14ac:dyDescent="0.35">
      <c r="A4" s="178"/>
      <c r="B4" s="182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76"/>
    </row>
    <row r="5" spans="1:21" x14ac:dyDescent="0.3">
      <c r="A5" s="19" t="str">
        <f>Start!A5</f>
        <v>Postbearbeitung Bestand</v>
      </c>
      <c r="B5" s="134">
        <f>'KW 14'!S5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5">
        <f>'KW 14'!S6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6">
        <f>'KW 14'!S7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5">
        <f>'KW 14'!S9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5">
        <f>'KW 14'!S10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5">
        <f>'KW 14'!S11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5">
        <f>'KW 14'!S12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5">
        <f>'KW 14'!S14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" thickBot="1" x14ac:dyDescent="0.35">
      <c r="A15" s="29" t="str">
        <f>Start!A15</f>
        <v>Einfachaufträge</v>
      </c>
      <c r="B15" s="135">
        <f>'KW 14'!S15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5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5">
        <f>'KW 14'!S17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39">
        <f>'KW 14'!S20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4">
        <f>'KW 14'!S22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5">
        <f>'KW 14'!S23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6">
        <f>'KW 14'!S24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4">
        <f>'KW 14'!S26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5">
        <f>'KW 14'!S27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6">
        <f>'KW 14'!S28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39">
        <f>'KW 14'!S30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4">
        <f>'KW 14'!S35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575" priority="12">
      <formula>Wochetag($C$3:$P$3,2)&gt;5</formula>
    </cfRule>
  </conditionalFormatting>
  <conditionalFormatting sqref="K25:L25 K29:L29">
    <cfRule type="expression" dxfId="574" priority="11">
      <formula>Wochetag($C$3:$P$3,2)&gt;5</formula>
    </cfRule>
  </conditionalFormatting>
  <conditionalFormatting sqref="C25:J25 C29:J29">
    <cfRule type="expression" dxfId="573" priority="10">
      <formula>Wochetag($C$3:$P$3,2)&gt;5</formula>
    </cfRule>
  </conditionalFormatting>
  <conditionalFormatting sqref="M29:P29">
    <cfRule type="expression" dxfId="572" priority="9">
      <formula>Wochetag($C$3:$P$3,2)&gt;5</formula>
    </cfRule>
  </conditionalFormatting>
  <conditionalFormatting sqref="M11:P11">
    <cfRule type="expression" dxfId="571" priority="8">
      <formula>Wochetag($C$3:$P$3,2)&gt;5</formula>
    </cfRule>
  </conditionalFormatting>
  <conditionalFormatting sqref="C9:L12">
    <cfRule type="expression" dxfId="570" priority="7">
      <formula>Wochetag($C$3:$P$3,2)&gt;5</formula>
    </cfRule>
  </conditionalFormatting>
  <conditionalFormatting sqref="C14:L15">
    <cfRule type="expression" dxfId="569" priority="6">
      <formula>Wochetag($C$3:$P$3,2)&gt;5</formula>
    </cfRule>
  </conditionalFormatting>
  <conditionalFormatting sqref="C17:L17">
    <cfRule type="expression" dxfId="568" priority="5">
      <formula>Wochetag($C$3:$P$3,2)&gt;5</formula>
    </cfRule>
  </conditionalFormatting>
  <conditionalFormatting sqref="C20:L20">
    <cfRule type="expression" dxfId="567" priority="4">
      <formula>Wochetag($C$3:$P$3,2)&gt;5</formula>
    </cfRule>
  </conditionalFormatting>
  <conditionalFormatting sqref="C22:L24">
    <cfRule type="expression" dxfId="566" priority="3">
      <formula>Wochetag($C$3:$P$3,2)&gt;5</formula>
    </cfRule>
  </conditionalFormatting>
  <conditionalFormatting sqref="C26:L28">
    <cfRule type="expression" dxfId="565" priority="2">
      <formula>Wochetag($C$3:$P$3,2)&gt;5</formula>
    </cfRule>
  </conditionalFormatting>
  <conditionalFormatting sqref="C30:L30">
    <cfRule type="expression" dxfId="564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U37"/>
  <sheetViews>
    <sheetView workbookViewId="0">
      <selection activeCell="C1" sqref="C1:D2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1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77" t="s">
        <v>20</v>
      </c>
      <c r="B3" s="181" t="s">
        <v>21</v>
      </c>
      <c r="C3" s="91">
        <f>'KW 1'!$C$3+105</f>
        <v>44305</v>
      </c>
      <c r="D3" s="92">
        <f>C3</f>
        <v>44305</v>
      </c>
      <c r="E3" s="91">
        <f>C3+1</f>
        <v>44306</v>
      </c>
      <c r="F3" s="92">
        <f>E3</f>
        <v>44306</v>
      </c>
      <c r="G3" s="91">
        <f>C3+2</f>
        <v>44307</v>
      </c>
      <c r="H3" s="92">
        <f>G3</f>
        <v>44307</v>
      </c>
      <c r="I3" s="91">
        <f>C3+3</f>
        <v>44308</v>
      </c>
      <c r="J3" s="92">
        <f>I3</f>
        <v>44308</v>
      </c>
      <c r="K3" s="91">
        <f>C3+4</f>
        <v>44309</v>
      </c>
      <c r="L3" s="92">
        <f>K3</f>
        <v>44309</v>
      </c>
      <c r="M3" s="91">
        <f>C3+5</f>
        <v>44310</v>
      </c>
      <c r="N3" s="92">
        <f>M3</f>
        <v>44310</v>
      </c>
      <c r="O3" s="91">
        <f>C3+6</f>
        <v>44311</v>
      </c>
      <c r="P3" s="92">
        <f>O3</f>
        <v>44311</v>
      </c>
      <c r="Q3" s="14" t="s">
        <v>0</v>
      </c>
      <c r="R3" s="15" t="s">
        <v>0</v>
      </c>
      <c r="S3" s="177" t="s">
        <v>1</v>
      </c>
      <c r="T3" s="177" t="s">
        <v>2</v>
      </c>
      <c r="U3" s="175" t="s">
        <v>4</v>
      </c>
    </row>
    <row r="4" spans="1:21" ht="15" thickBot="1" x14ac:dyDescent="0.35">
      <c r="A4" s="178"/>
      <c r="B4" s="182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76"/>
    </row>
    <row r="5" spans="1:21" x14ac:dyDescent="0.3">
      <c r="A5" s="19" t="str">
        <f>Start!A5</f>
        <v>Postbearbeitung Bestand</v>
      </c>
      <c r="B5" s="134">
        <f>'KW 15'!S5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5">
        <f>'KW 15'!S6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6">
        <f>'KW 15'!S7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5">
        <f>'KW 15'!S9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5">
        <f>'KW 15'!S10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5">
        <f>'KW 15'!S11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5">
        <f>'KW 15'!S12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5">
        <f>'KW 15'!S14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" thickBot="1" x14ac:dyDescent="0.35">
      <c r="A15" s="29" t="str">
        <f>Start!A15</f>
        <v>Einfachaufträge</v>
      </c>
      <c r="B15" s="135">
        <f>'KW 15'!S15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5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5">
        <f>'KW 15'!S17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39">
        <f>'KW 15'!S20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4">
        <f>'KW 15'!S22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5">
        <f>'KW 15'!S23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6">
        <f>'KW 15'!S24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4">
        <f>'KW 15'!S26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5">
        <f>'KW 15'!S27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6">
        <f>'KW 15'!S28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39">
        <f>'KW 15'!S30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4">
        <f>'KW 15'!S35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563" priority="12">
      <formula>Wochetag($C$3:$P$3,2)&gt;5</formula>
    </cfRule>
  </conditionalFormatting>
  <conditionalFormatting sqref="K25:L25 K29:L29">
    <cfRule type="expression" dxfId="562" priority="11">
      <formula>Wochetag($C$3:$P$3,2)&gt;5</formula>
    </cfRule>
  </conditionalFormatting>
  <conditionalFormatting sqref="C25:J25 C29:J29">
    <cfRule type="expression" dxfId="561" priority="10">
      <formula>Wochetag($C$3:$P$3,2)&gt;5</formula>
    </cfRule>
  </conditionalFormatting>
  <conditionalFormatting sqref="M29:P29">
    <cfRule type="expression" dxfId="560" priority="9">
      <formula>Wochetag($C$3:$P$3,2)&gt;5</formula>
    </cfRule>
  </conditionalFormatting>
  <conditionalFormatting sqref="M11:P11">
    <cfRule type="expression" dxfId="559" priority="8">
      <formula>Wochetag($C$3:$P$3,2)&gt;5</formula>
    </cfRule>
  </conditionalFormatting>
  <conditionalFormatting sqref="C9:L12">
    <cfRule type="expression" dxfId="558" priority="7">
      <formula>Wochetag($C$3:$P$3,2)&gt;5</formula>
    </cfRule>
  </conditionalFormatting>
  <conditionalFormatting sqref="C14:L15">
    <cfRule type="expression" dxfId="557" priority="6">
      <formula>Wochetag($C$3:$P$3,2)&gt;5</formula>
    </cfRule>
  </conditionalFormatting>
  <conditionalFormatting sqref="C17:L17">
    <cfRule type="expression" dxfId="556" priority="5">
      <formula>Wochetag($C$3:$P$3,2)&gt;5</formula>
    </cfRule>
  </conditionalFormatting>
  <conditionalFormatting sqref="C20:L20">
    <cfRule type="expression" dxfId="555" priority="4">
      <formula>Wochetag($C$3:$P$3,2)&gt;5</formula>
    </cfRule>
  </conditionalFormatting>
  <conditionalFormatting sqref="C22:L24">
    <cfRule type="expression" dxfId="554" priority="3">
      <formula>Wochetag($C$3:$P$3,2)&gt;5</formula>
    </cfRule>
  </conditionalFormatting>
  <conditionalFormatting sqref="C26:L28">
    <cfRule type="expression" dxfId="553" priority="2">
      <formula>Wochetag($C$3:$P$3,2)&gt;5</formula>
    </cfRule>
  </conditionalFormatting>
  <conditionalFormatting sqref="C30:L30">
    <cfRule type="expression" dxfId="552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W139"/>
  <sheetViews>
    <sheetView topLeftCell="A121" workbookViewId="0">
      <selection activeCell="N146" sqref="N146"/>
    </sheetView>
  </sheetViews>
  <sheetFormatPr baseColWidth="10" defaultColWidth="10.5546875" defaultRowHeight="14.4" x14ac:dyDescent="0.3"/>
  <cols>
    <col min="1" max="1" width="10.5546875" style="2"/>
    <col min="2" max="2" width="5.5546875" style="2" customWidth="1"/>
    <col min="3" max="3" width="3.5546875" style="1" bestFit="1" customWidth="1"/>
    <col min="4" max="4" width="9" style="2" customWidth="1"/>
    <col min="5" max="5" width="2.5546875" style="2" customWidth="1"/>
    <col min="6" max="6" width="13.5546875" style="2" bestFit="1" customWidth="1"/>
    <col min="7" max="7" width="10.5546875" style="2"/>
    <col min="8" max="8" width="2.5546875" style="2" customWidth="1"/>
    <col min="9" max="9" width="10.5546875" style="2"/>
    <col min="10" max="10" width="5" style="2" bestFit="1" customWidth="1"/>
    <col min="11" max="11" width="3.44140625" style="2" customWidth="1"/>
    <col min="12" max="12" width="9" style="2" customWidth="1"/>
    <col min="13" max="13" width="2.5546875" style="2" customWidth="1"/>
    <col min="14" max="14" width="13.21875" style="2" bestFit="1" customWidth="1"/>
    <col min="15" max="15" width="10.5546875" style="2"/>
    <col min="16" max="16" width="2.5546875" style="2" customWidth="1"/>
    <col min="17" max="17" width="10.5546875" style="2"/>
    <col min="18" max="18" width="5" style="2" bestFit="1" customWidth="1"/>
    <col min="19" max="19" width="3.5546875" style="2" customWidth="1"/>
    <col min="20" max="20" width="10.5546875" style="2"/>
    <col min="21" max="21" width="2.5546875" style="2" customWidth="1"/>
    <col min="22" max="22" width="13.5546875" style="2" bestFit="1" customWidth="1"/>
    <col min="23" max="16384" width="10.5546875" style="2"/>
  </cols>
  <sheetData>
    <row r="1" spans="1:23" ht="15" thickBot="1" x14ac:dyDescent="0.35">
      <c r="A1" s="75" t="s">
        <v>47</v>
      </c>
      <c r="B1" s="75">
        <f>Start!B1</f>
        <v>2021</v>
      </c>
      <c r="C1" s="7"/>
      <c r="D1" s="75"/>
      <c r="I1" s="75" t="s">
        <v>53</v>
      </c>
      <c r="J1" s="75">
        <f>$B$1</f>
        <v>2021</v>
      </c>
      <c r="K1" s="7"/>
      <c r="L1" s="75"/>
      <c r="Q1" s="75" t="s">
        <v>55</v>
      </c>
      <c r="R1" s="75">
        <f>$B$1</f>
        <v>2021</v>
      </c>
      <c r="S1" s="7"/>
      <c r="T1" s="75"/>
    </row>
    <row r="2" spans="1:23" x14ac:dyDescent="0.3">
      <c r="A2" s="76" t="s">
        <v>40</v>
      </c>
      <c r="B2" s="77" t="s">
        <v>48</v>
      </c>
      <c r="C2" s="77" t="s">
        <v>49</v>
      </c>
      <c r="D2" s="78" t="s">
        <v>50</v>
      </c>
      <c r="F2" s="76" t="s">
        <v>52</v>
      </c>
      <c r="G2" s="88">
        <f>SUMIF($C$3:$C$33,"53",$D$3:$D$33)</f>
        <v>0</v>
      </c>
      <c r="I2" s="76" t="s">
        <v>40</v>
      </c>
      <c r="J2" s="77" t="s">
        <v>48</v>
      </c>
      <c r="K2" s="77" t="s">
        <v>49</v>
      </c>
      <c r="L2" s="78" t="s">
        <v>50</v>
      </c>
      <c r="N2" s="76" t="s">
        <v>90</v>
      </c>
      <c r="O2" s="88">
        <f>SUMIF($K$3:$K$33,"5",$L$3:$L$33)</f>
        <v>0</v>
      </c>
      <c r="Q2" s="76" t="s">
        <v>40</v>
      </c>
      <c r="R2" s="77" t="s">
        <v>48</v>
      </c>
      <c r="S2" s="77" t="s">
        <v>49</v>
      </c>
      <c r="T2" s="78" t="s">
        <v>50</v>
      </c>
      <c r="V2" s="76" t="s">
        <v>89</v>
      </c>
      <c r="W2" s="88">
        <f>SUMIF($S$3:$S$33,"9",$T$3:$T$33)</f>
        <v>0</v>
      </c>
    </row>
    <row r="3" spans="1:23" x14ac:dyDescent="0.3">
      <c r="A3" s="150">
        <f>DATE(B1,1,1)</f>
        <v>44197</v>
      </c>
      <c r="B3" s="151">
        <f>A3</f>
        <v>44197</v>
      </c>
      <c r="C3" s="152">
        <f>IF(A3="","",WEEKNUM(A3,21))</f>
        <v>53</v>
      </c>
      <c r="D3" s="94">
        <f>'alt KW 53'!$L$33</f>
        <v>0</v>
      </c>
      <c r="F3" s="89" t="s">
        <v>94</v>
      </c>
      <c r="G3" s="82">
        <f>SUMIF($C$3:$C$33,"1",$D$3:$D$33)</f>
        <v>0</v>
      </c>
      <c r="I3" s="79">
        <f>DATE(J1,2,1)</f>
        <v>44228</v>
      </c>
      <c r="J3" s="80">
        <f>I3</f>
        <v>44228</v>
      </c>
      <c r="K3" s="81">
        <f>IF(I3="","",WEEKNUM(I3,21))</f>
        <v>5</v>
      </c>
      <c r="L3" s="82">
        <f>'KW 5'!$D$33</f>
        <v>0</v>
      </c>
      <c r="N3" s="89" t="s">
        <v>91</v>
      </c>
      <c r="O3" s="82">
        <f>SUMIF($K$3:$K$33,"6",$L$3:$L$33)</f>
        <v>0</v>
      </c>
      <c r="Q3" s="79">
        <f>DATE(R1,3,1)</f>
        <v>44256</v>
      </c>
      <c r="R3" s="80">
        <f>Q3</f>
        <v>44256</v>
      </c>
      <c r="S3" s="81">
        <f>IF(Q3="","",WEEKNUM(Q3,21))</f>
        <v>9</v>
      </c>
      <c r="T3" s="82">
        <f>'KW 9'!$D$33</f>
        <v>0</v>
      </c>
      <c r="V3" s="89" t="s">
        <v>56</v>
      </c>
      <c r="W3" s="82">
        <f>SUMIF($S$3:$S$33,"10",$T$3:$T$33)</f>
        <v>0</v>
      </c>
    </row>
    <row r="4" spans="1:23" x14ac:dyDescent="0.3">
      <c r="A4" s="79">
        <f>IFERROR(IF(MONTH(A3+1)=MONTH(A$3),A3+1,""),"")</f>
        <v>44198</v>
      </c>
      <c r="B4" s="80">
        <f t="shared" ref="B4:B33" si="0">A4</f>
        <v>44198</v>
      </c>
      <c r="C4" s="81">
        <f t="shared" ref="C4:C33" si="1">IF(A4="","",WEEKNUM(A4,21))</f>
        <v>53</v>
      </c>
      <c r="D4" s="82">
        <f>'alt KW 53'!$N$33</f>
        <v>0</v>
      </c>
      <c r="F4" s="89" t="s">
        <v>95</v>
      </c>
      <c r="G4" s="82">
        <f>SUMIF($C$3:$C$33,"2",$D$3:$D$33)</f>
        <v>0</v>
      </c>
      <c r="I4" s="79">
        <f>IFERROR(IF(MONTH(I3+1)=MONTH(I$3),I3+1,""),"")</f>
        <v>44229</v>
      </c>
      <c r="J4" s="80">
        <f t="shared" ref="J4:J33" si="2">I4</f>
        <v>44229</v>
      </c>
      <c r="K4" s="81">
        <f t="shared" ref="K4:K33" si="3">IF(I4="","",WEEKNUM(I4,21))</f>
        <v>5</v>
      </c>
      <c r="L4" s="82">
        <f>'KW 5'!$F$33</f>
        <v>0</v>
      </c>
      <c r="N4" s="89" t="s">
        <v>92</v>
      </c>
      <c r="O4" s="82">
        <f>SUMIF($K$3:$K$33,"7",$L$3:$L$33)</f>
        <v>0</v>
      </c>
      <c r="Q4" s="79">
        <f>IFERROR(IF(MONTH(Q3+1)=MONTH(Q$3),Q3+1,""),"")</f>
        <v>44257</v>
      </c>
      <c r="R4" s="80">
        <f t="shared" ref="R4:R33" si="4">Q4</f>
        <v>44257</v>
      </c>
      <c r="S4" s="81">
        <f t="shared" ref="S4:S33" si="5">IF(Q4="","",WEEKNUM(Q4,21))</f>
        <v>9</v>
      </c>
      <c r="T4" s="82">
        <f>'KW 9'!$F$33</f>
        <v>0</v>
      </c>
      <c r="V4" s="89" t="s">
        <v>57</v>
      </c>
      <c r="W4" s="82">
        <f>SUMIF($S$3:$S$33,"11",$T$3:$T$33)</f>
        <v>0</v>
      </c>
    </row>
    <row r="5" spans="1:23" x14ac:dyDescent="0.3">
      <c r="A5" s="79">
        <f t="shared" ref="A5:A33" si="6">IFERROR(IF(MONTH(A4+1)=MONTH(A$3),A4+1,""),"")</f>
        <v>44199</v>
      </c>
      <c r="B5" s="80">
        <f t="shared" si="0"/>
        <v>44199</v>
      </c>
      <c r="C5" s="81">
        <f t="shared" si="1"/>
        <v>53</v>
      </c>
      <c r="D5" s="82">
        <f>'alt KW 53'!$P$33</f>
        <v>0</v>
      </c>
      <c r="F5" s="89" t="s">
        <v>96</v>
      </c>
      <c r="G5" s="82">
        <f>SUMIF($C$3:$C$33,"3",$D$3:$D$33)</f>
        <v>0</v>
      </c>
      <c r="I5" s="79">
        <f t="shared" ref="I5:I33" si="7">IFERROR(IF(MONTH(I4+1)=MONTH(I$3),I4+1,""),"")</f>
        <v>44230</v>
      </c>
      <c r="J5" s="80">
        <f t="shared" si="2"/>
        <v>44230</v>
      </c>
      <c r="K5" s="81">
        <f t="shared" si="3"/>
        <v>5</v>
      </c>
      <c r="L5" s="82">
        <f>'KW 5'!$H$33</f>
        <v>0</v>
      </c>
      <c r="N5" s="89" t="s">
        <v>93</v>
      </c>
      <c r="O5" s="82">
        <f>SUMIF($K$3:$K$33,"8",$L$3:$L$33)</f>
        <v>0</v>
      </c>
      <c r="Q5" s="79">
        <f t="shared" ref="Q5:Q33" si="8">IFERROR(IF(MONTH(Q4+1)=MONTH(Q$3),Q4+1,""),"")</f>
        <v>44258</v>
      </c>
      <c r="R5" s="80">
        <f t="shared" si="4"/>
        <v>44258</v>
      </c>
      <c r="S5" s="81">
        <f t="shared" si="5"/>
        <v>9</v>
      </c>
      <c r="T5" s="82">
        <f>'KW 9'!$H$33</f>
        <v>0</v>
      </c>
      <c r="V5" s="89" t="s">
        <v>58</v>
      </c>
      <c r="W5" s="82">
        <f>SUMIF($S$3:$S$33,"12",$T$3:$T$33)</f>
        <v>0</v>
      </c>
    </row>
    <row r="6" spans="1:23" x14ac:dyDescent="0.3">
      <c r="A6" s="79">
        <f t="shared" si="6"/>
        <v>44200</v>
      </c>
      <c r="B6" s="80">
        <f t="shared" si="0"/>
        <v>44200</v>
      </c>
      <c r="C6" s="81">
        <f t="shared" si="1"/>
        <v>1</v>
      </c>
      <c r="D6" s="82">
        <f>'KW 1'!$D$33</f>
        <v>0</v>
      </c>
      <c r="F6" s="89" t="s">
        <v>97</v>
      </c>
      <c r="G6" s="82">
        <f>SUMIF($C$3:$C$33,"4",$D$3:$D$33)</f>
        <v>0</v>
      </c>
      <c r="I6" s="79">
        <f t="shared" si="7"/>
        <v>44231</v>
      </c>
      <c r="J6" s="80">
        <f t="shared" si="2"/>
        <v>44231</v>
      </c>
      <c r="K6" s="81">
        <f t="shared" si="3"/>
        <v>5</v>
      </c>
      <c r="L6" s="82">
        <f>'KW 5'!$J$33</f>
        <v>0</v>
      </c>
      <c r="N6" s="89" t="s">
        <v>89</v>
      </c>
      <c r="O6" s="82">
        <f>SUMIF($K$3:$K$33,"9",$L$3:$L$33)</f>
        <v>0</v>
      </c>
      <c r="Q6" s="79">
        <f t="shared" si="8"/>
        <v>44259</v>
      </c>
      <c r="R6" s="80">
        <f t="shared" si="4"/>
        <v>44259</v>
      </c>
      <c r="S6" s="81">
        <f t="shared" si="5"/>
        <v>9</v>
      </c>
      <c r="T6" s="82">
        <f>'KW 9'!$J$33</f>
        <v>0</v>
      </c>
      <c r="V6" s="89" t="s">
        <v>59</v>
      </c>
      <c r="W6" s="82">
        <f>SUMIF($S$3:$S$33,"13",$T$3:$T$33)</f>
        <v>0</v>
      </c>
    </row>
    <row r="7" spans="1:23" ht="15" thickBot="1" x14ac:dyDescent="0.35">
      <c r="A7" s="79">
        <f t="shared" si="6"/>
        <v>44201</v>
      </c>
      <c r="B7" s="80">
        <f t="shared" si="0"/>
        <v>44201</v>
      </c>
      <c r="C7" s="81">
        <f t="shared" si="1"/>
        <v>1</v>
      </c>
      <c r="D7" s="82">
        <f>'KW 1'!$F$33</f>
        <v>0</v>
      </c>
      <c r="F7" s="90" t="s">
        <v>90</v>
      </c>
      <c r="G7" s="83">
        <f>SUMIF($C$3:$C$33,"5",$D$3:$D$33)</f>
        <v>0</v>
      </c>
      <c r="I7" s="79">
        <f t="shared" si="7"/>
        <v>44232</v>
      </c>
      <c r="J7" s="80">
        <f t="shared" si="2"/>
        <v>44232</v>
      </c>
      <c r="K7" s="81">
        <f t="shared" si="3"/>
        <v>5</v>
      </c>
      <c r="L7" s="82">
        <f>'KW 5'!$L$33</f>
        <v>0</v>
      </c>
      <c r="N7" s="90" t="s">
        <v>56</v>
      </c>
      <c r="O7" s="83">
        <f>SUMIF($K$3:$K$33,"10",$L$3:$L$33)</f>
        <v>0</v>
      </c>
      <c r="Q7" s="79">
        <f t="shared" si="8"/>
        <v>44260</v>
      </c>
      <c r="R7" s="80">
        <f t="shared" si="4"/>
        <v>44260</v>
      </c>
      <c r="S7" s="81">
        <f t="shared" si="5"/>
        <v>9</v>
      </c>
      <c r="T7" s="82">
        <f>'KW 9'!$L$33</f>
        <v>0</v>
      </c>
      <c r="V7" s="90" t="s">
        <v>80</v>
      </c>
      <c r="W7" s="83">
        <f>SUMIF($S$3:$S$33,"14",$T$3:$T$33)</f>
        <v>0</v>
      </c>
    </row>
    <row r="8" spans="1:23" x14ac:dyDescent="0.3">
      <c r="A8" s="79">
        <f t="shared" si="6"/>
        <v>44202</v>
      </c>
      <c r="B8" s="80">
        <f t="shared" si="0"/>
        <v>44202</v>
      </c>
      <c r="C8" s="81">
        <f t="shared" si="1"/>
        <v>1</v>
      </c>
      <c r="D8" s="82">
        <f>'KW 1'!$H$33</f>
        <v>0</v>
      </c>
      <c r="I8" s="79">
        <f t="shared" si="7"/>
        <v>44233</v>
      </c>
      <c r="J8" s="80">
        <f t="shared" si="2"/>
        <v>44233</v>
      </c>
      <c r="K8" s="81">
        <f t="shared" si="3"/>
        <v>5</v>
      </c>
      <c r="L8" s="82">
        <f>'KW 5'!$N$33</f>
        <v>0</v>
      </c>
      <c r="N8" s="7"/>
      <c r="O8" s="93"/>
      <c r="Q8" s="79">
        <f t="shared" si="8"/>
        <v>44261</v>
      </c>
      <c r="R8" s="80">
        <f t="shared" si="4"/>
        <v>44261</v>
      </c>
      <c r="S8" s="81">
        <f t="shared" si="5"/>
        <v>9</v>
      </c>
      <c r="T8" s="82">
        <f>'KW 9'!$N$33</f>
        <v>0</v>
      </c>
      <c r="V8" s="7"/>
      <c r="W8" s="93"/>
    </row>
    <row r="9" spans="1:23" x14ac:dyDescent="0.3">
      <c r="A9" s="79">
        <f t="shared" si="6"/>
        <v>44203</v>
      </c>
      <c r="B9" s="80">
        <f t="shared" si="0"/>
        <v>44203</v>
      </c>
      <c r="C9" s="81">
        <f t="shared" si="1"/>
        <v>1</v>
      </c>
      <c r="D9" s="82">
        <f>'KW 1'!$J$33</f>
        <v>0</v>
      </c>
      <c r="F9" s="7" t="s">
        <v>0</v>
      </c>
      <c r="G9" s="93">
        <f>SUM(G2:G7)</f>
        <v>0</v>
      </c>
      <c r="I9" s="79">
        <f t="shared" si="7"/>
        <v>44234</v>
      </c>
      <c r="J9" s="80">
        <f t="shared" si="2"/>
        <v>44234</v>
      </c>
      <c r="K9" s="81">
        <f t="shared" si="3"/>
        <v>5</v>
      </c>
      <c r="L9" s="82">
        <f>'KW 5'!$P$33</f>
        <v>0</v>
      </c>
      <c r="N9" s="7" t="s">
        <v>0</v>
      </c>
      <c r="O9" s="93">
        <f>SUM(O2:O7)</f>
        <v>0</v>
      </c>
      <c r="Q9" s="79">
        <f t="shared" si="8"/>
        <v>44262</v>
      </c>
      <c r="R9" s="80">
        <f t="shared" si="4"/>
        <v>44262</v>
      </c>
      <c r="S9" s="81">
        <f t="shared" si="5"/>
        <v>9</v>
      </c>
      <c r="T9" s="82">
        <f>'KW 9'!$P$33</f>
        <v>0</v>
      </c>
      <c r="V9" s="7" t="s">
        <v>0</v>
      </c>
      <c r="W9" s="93">
        <f>SUM(W2:W7)</f>
        <v>0</v>
      </c>
    </row>
    <row r="10" spans="1:23" x14ac:dyDescent="0.3">
      <c r="A10" s="79">
        <f t="shared" si="6"/>
        <v>44204</v>
      </c>
      <c r="B10" s="80">
        <f t="shared" si="0"/>
        <v>44204</v>
      </c>
      <c r="C10" s="81">
        <f t="shared" si="1"/>
        <v>1</v>
      </c>
      <c r="D10" s="82">
        <f>'KW 1'!$L$33</f>
        <v>0</v>
      </c>
      <c r="I10" s="79">
        <f t="shared" si="7"/>
        <v>44235</v>
      </c>
      <c r="J10" s="80">
        <f t="shared" si="2"/>
        <v>44235</v>
      </c>
      <c r="K10" s="81">
        <f t="shared" si="3"/>
        <v>6</v>
      </c>
      <c r="L10" s="82">
        <f>'KW 6'!$D$33</f>
        <v>0</v>
      </c>
      <c r="Q10" s="79">
        <f t="shared" si="8"/>
        <v>44263</v>
      </c>
      <c r="R10" s="80">
        <f t="shared" si="4"/>
        <v>44263</v>
      </c>
      <c r="S10" s="81">
        <f t="shared" si="5"/>
        <v>10</v>
      </c>
      <c r="T10" s="82">
        <f>'KW 10'!$D$33</f>
        <v>0</v>
      </c>
    </row>
    <row r="11" spans="1:23" x14ac:dyDescent="0.3">
      <c r="A11" s="79">
        <f t="shared" si="6"/>
        <v>44205</v>
      </c>
      <c r="B11" s="80">
        <f t="shared" si="0"/>
        <v>44205</v>
      </c>
      <c r="C11" s="81">
        <f t="shared" si="1"/>
        <v>1</v>
      </c>
      <c r="D11" s="82">
        <f>'KW 1'!$N$33</f>
        <v>0</v>
      </c>
      <c r="I11" s="79">
        <f t="shared" si="7"/>
        <v>44236</v>
      </c>
      <c r="J11" s="80">
        <f t="shared" si="2"/>
        <v>44236</v>
      </c>
      <c r="K11" s="81">
        <f t="shared" si="3"/>
        <v>6</v>
      </c>
      <c r="L11" s="82">
        <f>'KW 6'!$F$33</f>
        <v>0</v>
      </c>
      <c r="Q11" s="79">
        <f t="shared" si="8"/>
        <v>44264</v>
      </c>
      <c r="R11" s="80">
        <f t="shared" si="4"/>
        <v>44264</v>
      </c>
      <c r="S11" s="81">
        <f t="shared" si="5"/>
        <v>10</v>
      </c>
      <c r="T11" s="82">
        <f>'KW 10'!$F$33</f>
        <v>0</v>
      </c>
    </row>
    <row r="12" spans="1:23" x14ac:dyDescent="0.3">
      <c r="A12" s="79">
        <f t="shared" si="6"/>
        <v>44206</v>
      </c>
      <c r="B12" s="80">
        <f t="shared" si="0"/>
        <v>44206</v>
      </c>
      <c r="C12" s="81">
        <f t="shared" si="1"/>
        <v>1</v>
      </c>
      <c r="D12" s="82">
        <f>'KW 1'!$P$33</f>
        <v>0</v>
      </c>
      <c r="I12" s="79">
        <f t="shared" si="7"/>
        <v>44237</v>
      </c>
      <c r="J12" s="80">
        <f t="shared" si="2"/>
        <v>44237</v>
      </c>
      <c r="K12" s="81">
        <f t="shared" si="3"/>
        <v>6</v>
      </c>
      <c r="L12" s="82">
        <f>'KW 6'!$H$33</f>
        <v>0</v>
      </c>
      <c r="Q12" s="79">
        <f t="shared" si="8"/>
        <v>44265</v>
      </c>
      <c r="R12" s="80">
        <f t="shared" si="4"/>
        <v>44265</v>
      </c>
      <c r="S12" s="81">
        <f t="shared" si="5"/>
        <v>10</v>
      </c>
      <c r="T12" s="82">
        <f>'KW 10'!$H$33</f>
        <v>0</v>
      </c>
    </row>
    <row r="13" spans="1:23" x14ac:dyDescent="0.3">
      <c r="A13" s="79">
        <f t="shared" si="6"/>
        <v>44207</v>
      </c>
      <c r="B13" s="80">
        <f t="shared" si="0"/>
        <v>44207</v>
      </c>
      <c r="C13" s="81">
        <f t="shared" si="1"/>
        <v>2</v>
      </c>
      <c r="D13" s="82">
        <f>'KW 2'!$D$33</f>
        <v>0</v>
      </c>
      <c r="I13" s="79">
        <f t="shared" si="7"/>
        <v>44238</v>
      </c>
      <c r="J13" s="80">
        <f t="shared" si="2"/>
        <v>44238</v>
      </c>
      <c r="K13" s="81">
        <f t="shared" si="3"/>
        <v>6</v>
      </c>
      <c r="L13" s="82">
        <f>'KW 6'!$J$33</f>
        <v>0</v>
      </c>
      <c r="Q13" s="79">
        <f t="shared" si="8"/>
        <v>44266</v>
      </c>
      <c r="R13" s="80">
        <f t="shared" si="4"/>
        <v>44266</v>
      </c>
      <c r="S13" s="81">
        <f t="shared" si="5"/>
        <v>10</v>
      </c>
      <c r="T13" s="82">
        <f>'KW 10'!$J$33</f>
        <v>0</v>
      </c>
    </row>
    <row r="14" spans="1:23" x14ac:dyDescent="0.3">
      <c r="A14" s="79">
        <f t="shared" si="6"/>
        <v>44208</v>
      </c>
      <c r="B14" s="80">
        <f t="shared" si="0"/>
        <v>44208</v>
      </c>
      <c r="C14" s="81">
        <f t="shared" si="1"/>
        <v>2</v>
      </c>
      <c r="D14" s="82">
        <f>'KW 2'!$F$33</f>
        <v>0</v>
      </c>
      <c r="I14" s="79">
        <f t="shared" si="7"/>
        <v>44239</v>
      </c>
      <c r="J14" s="80">
        <f t="shared" si="2"/>
        <v>44239</v>
      </c>
      <c r="K14" s="81">
        <f t="shared" si="3"/>
        <v>6</v>
      </c>
      <c r="L14" s="82">
        <f>'KW 6'!$L$33</f>
        <v>0</v>
      </c>
      <c r="Q14" s="79">
        <f t="shared" si="8"/>
        <v>44267</v>
      </c>
      <c r="R14" s="80">
        <f t="shared" si="4"/>
        <v>44267</v>
      </c>
      <c r="S14" s="81">
        <f t="shared" si="5"/>
        <v>10</v>
      </c>
      <c r="T14" s="82">
        <f>'KW 10'!$L$33</f>
        <v>0</v>
      </c>
    </row>
    <row r="15" spans="1:23" x14ac:dyDescent="0.3">
      <c r="A15" s="79">
        <f t="shared" si="6"/>
        <v>44209</v>
      </c>
      <c r="B15" s="80">
        <f t="shared" si="0"/>
        <v>44209</v>
      </c>
      <c r="C15" s="81">
        <f t="shared" si="1"/>
        <v>2</v>
      </c>
      <c r="D15" s="82">
        <f>'KW 2'!$H$33</f>
        <v>0</v>
      </c>
      <c r="I15" s="79">
        <f t="shared" si="7"/>
        <v>44240</v>
      </c>
      <c r="J15" s="80">
        <f t="shared" si="2"/>
        <v>44240</v>
      </c>
      <c r="K15" s="81">
        <f t="shared" si="3"/>
        <v>6</v>
      </c>
      <c r="L15" s="82">
        <f>'KW 6'!$N$33</f>
        <v>0</v>
      </c>
      <c r="Q15" s="79">
        <f t="shared" si="8"/>
        <v>44268</v>
      </c>
      <c r="R15" s="80">
        <f t="shared" si="4"/>
        <v>44268</v>
      </c>
      <c r="S15" s="81">
        <f t="shared" si="5"/>
        <v>10</v>
      </c>
      <c r="T15" s="82">
        <f>'KW 10'!$N$33</f>
        <v>0</v>
      </c>
    </row>
    <row r="16" spans="1:23" x14ac:dyDescent="0.3">
      <c r="A16" s="79">
        <f t="shared" si="6"/>
        <v>44210</v>
      </c>
      <c r="B16" s="80">
        <f t="shared" si="0"/>
        <v>44210</v>
      </c>
      <c r="C16" s="81">
        <f t="shared" si="1"/>
        <v>2</v>
      </c>
      <c r="D16" s="82">
        <f>'KW 2'!$J$33</f>
        <v>0</v>
      </c>
      <c r="I16" s="79">
        <f t="shared" si="7"/>
        <v>44241</v>
      </c>
      <c r="J16" s="80">
        <f t="shared" si="2"/>
        <v>44241</v>
      </c>
      <c r="K16" s="81">
        <f t="shared" si="3"/>
        <v>6</v>
      </c>
      <c r="L16" s="82">
        <f>'KW 6'!$P$33</f>
        <v>0</v>
      </c>
      <c r="Q16" s="79">
        <f t="shared" si="8"/>
        <v>44269</v>
      </c>
      <c r="R16" s="80">
        <f t="shared" si="4"/>
        <v>44269</v>
      </c>
      <c r="S16" s="81">
        <f t="shared" si="5"/>
        <v>10</v>
      </c>
      <c r="T16" s="82">
        <f>'KW 10'!$P$33</f>
        <v>0</v>
      </c>
    </row>
    <row r="17" spans="1:20" x14ac:dyDescent="0.3">
      <c r="A17" s="79">
        <f t="shared" si="6"/>
        <v>44211</v>
      </c>
      <c r="B17" s="80">
        <f t="shared" si="0"/>
        <v>44211</v>
      </c>
      <c r="C17" s="81">
        <f t="shared" si="1"/>
        <v>2</v>
      </c>
      <c r="D17" s="82">
        <f>'KW 2'!$L$33</f>
        <v>0</v>
      </c>
      <c r="I17" s="79">
        <f t="shared" si="7"/>
        <v>44242</v>
      </c>
      <c r="J17" s="80">
        <f t="shared" si="2"/>
        <v>44242</v>
      </c>
      <c r="K17" s="81">
        <f t="shared" si="3"/>
        <v>7</v>
      </c>
      <c r="L17" s="82">
        <f>'KW 7'!$D$33</f>
        <v>0</v>
      </c>
      <c r="Q17" s="79">
        <f t="shared" si="8"/>
        <v>44270</v>
      </c>
      <c r="R17" s="80">
        <f t="shared" si="4"/>
        <v>44270</v>
      </c>
      <c r="S17" s="81">
        <f t="shared" si="5"/>
        <v>11</v>
      </c>
      <c r="T17" s="82">
        <f>'KW 11'!$D$33</f>
        <v>0</v>
      </c>
    </row>
    <row r="18" spans="1:20" x14ac:dyDescent="0.3">
      <c r="A18" s="79">
        <f t="shared" si="6"/>
        <v>44212</v>
      </c>
      <c r="B18" s="80">
        <f t="shared" si="0"/>
        <v>44212</v>
      </c>
      <c r="C18" s="81">
        <f t="shared" si="1"/>
        <v>2</v>
      </c>
      <c r="D18" s="82">
        <f>'KW 2'!$N$33</f>
        <v>0</v>
      </c>
      <c r="I18" s="79">
        <f t="shared" si="7"/>
        <v>44243</v>
      </c>
      <c r="J18" s="80">
        <f t="shared" si="2"/>
        <v>44243</v>
      </c>
      <c r="K18" s="81">
        <f t="shared" si="3"/>
        <v>7</v>
      </c>
      <c r="L18" s="82">
        <f>'KW 7'!$F$33</f>
        <v>0</v>
      </c>
      <c r="Q18" s="79">
        <f t="shared" si="8"/>
        <v>44271</v>
      </c>
      <c r="R18" s="80">
        <f t="shared" si="4"/>
        <v>44271</v>
      </c>
      <c r="S18" s="81">
        <f t="shared" si="5"/>
        <v>11</v>
      </c>
      <c r="T18" s="82">
        <f>'KW 11'!$F$33</f>
        <v>0</v>
      </c>
    </row>
    <row r="19" spans="1:20" x14ac:dyDescent="0.3">
      <c r="A19" s="79">
        <f t="shared" si="6"/>
        <v>44213</v>
      </c>
      <c r="B19" s="80">
        <f t="shared" si="0"/>
        <v>44213</v>
      </c>
      <c r="C19" s="81">
        <f t="shared" si="1"/>
        <v>2</v>
      </c>
      <c r="D19" s="82">
        <f>'KW 2'!$P$33</f>
        <v>0</v>
      </c>
      <c r="I19" s="79">
        <f t="shared" si="7"/>
        <v>44244</v>
      </c>
      <c r="J19" s="80">
        <f t="shared" si="2"/>
        <v>44244</v>
      </c>
      <c r="K19" s="81">
        <f t="shared" si="3"/>
        <v>7</v>
      </c>
      <c r="L19" s="82">
        <f>'KW 7'!$H$33</f>
        <v>0</v>
      </c>
      <c r="Q19" s="79">
        <f t="shared" si="8"/>
        <v>44272</v>
      </c>
      <c r="R19" s="80">
        <f t="shared" si="4"/>
        <v>44272</v>
      </c>
      <c r="S19" s="81">
        <f t="shared" si="5"/>
        <v>11</v>
      </c>
      <c r="T19" s="82">
        <f>'KW 11'!$H$33</f>
        <v>0</v>
      </c>
    </row>
    <row r="20" spans="1:20" x14ac:dyDescent="0.3">
      <c r="A20" s="79">
        <f t="shared" si="6"/>
        <v>44214</v>
      </c>
      <c r="B20" s="80">
        <f t="shared" si="0"/>
        <v>44214</v>
      </c>
      <c r="C20" s="81">
        <f t="shared" si="1"/>
        <v>3</v>
      </c>
      <c r="D20" s="82">
        <f>'KW 3'!$D$33</f>
        <v>0</v>
      </c>
      <c r="I20" s="79">
        <f t="shared" si="7"/>
        <v>44245</v>
      </c>
      <c r="J20" s="80">
        <f t="shared" si="2"/>
        <v>44245</v>
      </c>
      <c r="K20" s="81">
        <f t="shared" si="3"/>
        <v>7</v>
      </c>
      <c r="L20" s="82">
        <f>'KW 7'!$J$33</f>
        <v>0</v>
      </c>
      <c r="Q20" s="79">
        <f t="shared" si="8"/>
        <v>44273</v>
      </c>
      <c r="R20" s="80">
        <f t="shared" si="4"/>
        <v>44273</v>
      </c>
      <c r="S20" s="81">
        <f t="shared" si="5"/>
        <v>11</v>
      </c>
      <c r="T20" s="82">
        <f>'KW 11'!$J$33</f>
        <v>0</v>
      </c>
    </row>
    <row r="21" spans="1:20" x14ac:dyDescent="0.3">
      <c r="A21" s="79">
        <f t="shared" si="6"/>
        <v>44215</v>
      </c>
      <c r="B21" s="80">
        <f t="shared" si="0"/>
        <v>44215</v>
      </c>
      <c r="C21" s="81">
        <f t="shared" si="1"/>
        <v>3</v>
      </c>
      <c r="D21" s="82">
        <f>'KW 3'!$F$33</f>
        <v>0</v>
      </c>
      <c r="I21" s="79">
        <f t="shared" si="7"/>
        <v>44246</v>
      </c>
      <c r="J21" s="80">
        <f t="shared" si="2"/>
        <v>44246</v>
      </c>
      <c r="K21" s="81">
        <f t="shared" si="3"/>
        <v>7</v>
      </c>
      <c r="L21" s="82">
        <f>'KW 7'!$L$33</f>
        <v>0</v>
      </c>
      <c r="Q21" s="79">
        <f t="shared" si="8"/>
        <v>44274</v>
      </c>
      <c r="R21" s="80">
        <f t="shared" si="4"/>
        <v>44274</v>
      </c>
      <c r="S21" s="81">
        <f t="shared" si="5"/>
        <v>11</v>
      </c>
      <c r="T21" s="82">
        <f>'KW 11'!$L$33</f>
        <v>0</v>
      </c>
    </row>
    <row r="22" spans="1:20" x14ac:dyDescent="0.3">
      <c r="A22" s="79">
        <f t="shared" si="6"/>
        <v>44216</v>
      </c>
      <c r="B22" s="80">
        <f t="shared" si="0"/>
        <v>44216</v>
      </c>
      <c r="C22" s="81">
        <f t="shared" si="1"/>
        <v>3</v>
      </c>
      <c r="D22" s="82">
        <f>'KW 3'!$H$33</f>
        <v>0</v>
      </c>
      <c r="I22" s="79">
        <f t="shared" si="7"/>
        <v>44247</v>
      </c>
      <c r="J22" s="80">
        <f t="shared" si="2"/>
        <v>44247</v>
      </c>
      <c r="K22" s="81">
        <f t="shared" si="3"/>
        <v>7</v>
      </c>
      <c r="L22" s="82">
        <f>'KW 7'!$N$33</f>
        <v>0</v>
      </c>
      <c r="Q22" s="79">
        <f t="shared" si="8"/>
        <v>44275</v>
      </c>
      <c r="R22" s="80">
        <f t="shared" si="4"/>
        <v>44275</v>
      </c>
      <c r="S22" s="81">
        <f t="shared" si="5"/>
        <v>11</v>
      </c>
      <c r="T22" s="82">
        <f>'KW 11'!$N$33</f>
        <v>0</v>
      </c>
    </row>
    <row r="23" spans="1:20" x14ac:dyDescent="0.3">
      <c r="A23" s="79">
        <f t="shared" si="6"/>
        <v>44217</v>
      </c>
      <c r="B23" s="80">
        <f t="shared" si="0"/>
        <v>44217</v>
      </c>
      <c r="C23" s="81">
        <f t="shared" si="1"/>
        <v>3</v>
      </c>
      <c r="D23" s="82">
        <f>'KW 3'!$J$33</f>
        <v>0</v>
      </c>
      <c r="I23" s="79">
        <f t="shared" si="7"/>
        <v>44248</v>
      </c>
      <c r="J23" s="80">
        <f t="shared" si="2"/>
        <v>44248</v>
      </c>
      <c r="K23" s="81">
        <f t="shared" si="3"/>
        <v>7</v>
      </c>
      <c r="L23" s="82">
        <f>'KW 7'!$P$33</f>
        <v>0</v>
      </c>
      <c r="Q23" s="79">
        <f t="shared" si="8"/>
        <v>44276</v>
      </c>
      <c r="R23" s="80">
        <f t="shared" si="4"/>
        <v>44276</v>
      </c>
      <c r="S23" s="81">
        <f t="shared" si="5"/>
        <v>11</v>
      </c>
      <c r="T23" s="82">
        <f>'KW 11'!$P$33</f>
        <v>0</v>
      </c>
    </row>
    <row r="24" spans="1:20" x14ac:dyDescent="0.3">
      <c r="A24" s="79">
        <f t="shared" si="6"/>
        <v>44218</v>
      </c>
      <c r="B24" s="80">
        <f t="shared" si="0"/>
        <v>44218</v>
      </c>
      <c r="C24" s="81">
        <f t="shared" si="1"/>
        <v>3</v>
      </c>
      <c r="D24" s="82">
        <f>'KW 3'!$L$33</f>
        <v>0</v>
      </c>
      <c r="I24" s="79">
        <f t="shared" si="7"/>
        <v>44249</v>
      </c>
      <c r="J24" s="80">
        <f t="shared" si="2"/>
        <v>44249</v>
      </c>
      <c r="K24" s="81">
        <f t="shared" si="3"/>
        <v>8</v>
      </c>
      <c r="L24" s="82">
        <f>'KW 8'!$D$33</f>
        <v>0</v>
      </c>
      <c r="Q24" s="79">
        <f t="shared" si="8"/>
        <v>44277</v>
      </c>
      <c r="R24" s="80">
        <f t="shared" si="4"/>
        <v>44277</v>
      </c>
      <c r="S24" s="81">
        <f t="shared" si="5"/>
        <v>12</v>
      </c>
      <c r="T24" s="82">
        <f>'KW 12'!$D$33</f>
        <v>0</v>
      </c>
    </row>
    <row r="25" spans="1:20" x14ac:dyDescent="0.3">
      <c r="A25" s="79">
        <f t="shared" si="6"/>
        <v>44219</v>
      </c>
      <c r="B25" s="80">
        <f t="shared" si="0"/>
        <v>44219</v>
      </c>
      <c r="C25" s="81">
        <f t="shared" si="1"/>
        <v>3</v>
      </c>
      <c r="D25" s="82">
        <f>'KW 3'!$N$33</f>
        <v>0</v>
      </c>
      <c r="I25" s="79">
        <f t="shared" si="7"/>
        <v>44250</v>
      </c>
      <c r="J25" s="80">
        <f t="shared" si="2"/>
        <v>44250</v>
      </c>
      <c r="K25" s="81">
        <f t="shared" si="3"/>
        <v>8</v>
      </c>
      <c r="L25" s="82">
        <f>'KW 8'!$F$33</f>
        <v>0</v>
      </c>
      <c r="Q25" s="79">
        <f t="shared" si="8"/>
        <v>44278</v>
      </c>
      <c r="R25" s="80">
        <f t="shared" si="4"/>
        <v>44278</v>
      </c>
      <c r="S25" s="81">
        <f t="shared" si="5"/>
        <v>12</v>
      </c>
      <c r="T25" s="82">
        <f>'KW 12'!$F$33</f>
        <v>0</v>
      </c>
    </row>
    <row r="26" spans="1:20" x14ac:dyDescent="0.3">
      <c r="A26" s="79">
        <f t="shared" si="6"/>
        <v>44220</v>
      </c>
      <c r="B26" s="80">
        <f t="shared" si="0"/>
        <v>44220</v>
      </c>
      <c r="C26" s="81">
        <f t="shared" si="1"/>
        <v>3</v>
      </c>
      <c r="D26" s="82">
        <f>'KW 3'!$P$33</f>
        <v>0</v>
      </c>
      <c r="I26" s="79">
        <f t="shared" si="7"/>
        <v>44251</v>
      </c>
      <c r="J26" s="80">
        <f t="shared" si="2"/>
        <v>44251</v>
      </c>
      <c r="K26" s="81">
        <f t="shared" si="3"/>
        <v>8</v>
      </c>
      <c r="L26" s="82">
        <f>'KW 8'!$H$33</f>
        <v>0</v>
      </c>
      <c r="Q26" s="79">
        <f t="shared" si="8"/>
        <v>44279</v>
      </c>
      <c r="R26" s="80">
        <f t="shared" si="4"/>
        <v>44279</v>
      </c>
      <c r="S26" s="81">
        <f t="shared" si="5"/>
        <v>12</v>
      </c>
      <c r="T26" s="82">
        <f>'KW 12'!$H$33</f>
        <v>0</v>
      </c>
    </row>
    <row r="27" spans="1:20" x14ac:dyDescent="0.3">
      <c r="A27" s="79">
        <f t="shared" si="6"/>
        <v>44221</v>
      </c>
      <c r="B27" s="80">
        <f t="shared" si="0"/>
        <v>44221</v>
      </c>
      <c r="C27" s="81">
        <f t="shared" si="1"/>
        <v>4</v>
      </c>
      <c r="D27" s="82">
        <f>'KW 4'!$D$33</f>
        <v>0</v>
      </c>
      <c r="I27" s="79">
        <f t="shared" si="7"/>
        <v>44252</v>
      </c>
      <c r="J27" s="80">
        <f t="shared" si="2"/>
        <v>44252</v>
      </c>
      <c r="K27" s="81">
        <f t="shared" si="3"/>
        <v>8</v>
      </c>
      <c r="L27" s="82">
        <f>'KW 8'!$J$33</f>
        <v>0</v>
      </c>
      <c r="Q27" s="79">
        <f t="shared" si="8"/>
        <v>44280</v>
      </c>
      <c r="R27" s="80">
        <f t="shared" si="4"/>
        <v>44280</v>
      </c>
      <c r="S27" s="81">
        <f t="shared" si="5"/>
        <v>12</v>
      </c>
      <c r="T27" s="82">
        <f>'KW 12'!$J$33</f>
        <v>0</v>
      </c>
    </row>
    <row r="28" spans="1:20" x14ac:dyDescent="0.3">
      <c r="A28" s="79">
        <f t="shared" si="6"/>
        <v>44222</v>
      </c>
      <c r="B28" s="80">
        <f t="shared" si="0"/>
        <v>44222</v>
      </c>
      <c r="C28" s="81">
        <f t="shared" si="1"/>
        <v>4</v>
      </c>
      <c r="D28" s="82">
        <f>'KW 4'!$F$33</f>
        <v>0</v>
      </c>
      <c r="I28" s="79">
        <f t="shared" si="7"/>
        <v>44253</v>
      </c>
      <c r="J28" s="80">
        <f t="shared" si="2"/>
        <v>44253</v>
      </c>
      <c r="K28" s="81">
        <f t="shared" si="3"/>
        <v>8</v>
      </c>
      <c r="L28" s="82">
        <f>'KW 8'!$L$33</f>
        <v>0</v>
      </c>
      <c r="Q28" s="79">
        <f t="shared" si="8"/>
        <v>44281</v>
      </c>
      <c r="R28" s="80">
        <f t="shared" si="4"/>
        <v>44281</v>
      </c>
      <c r="S28" s="81">
        <f t="shared" si="5"/>
        <v>12</v>
      </c>
      <c r="T28" s="82">
        <f>'KW 12'!$L$33</f>
        <v>0</v>
      </c>
    </row>
    <row r="29" spans="1:20" x14ac:dyDescent="0.3">
      <c r="A29" s="79">
        <f t="shared" si="6"/>
        <v>44223</v>
      </c>
      <c r="B29" s="80">
        <f t="shared" si="0"/>
        <v>44223</v>
      </c>
      <c r="C29" s="81">
        <f t="shared" si="1"/>
        <v>4</v>
      </c>
      <c r="D29" s="82">
        <f>'KW 4'!$H$33</f>
        <v>0</v>
      </c>
      <c r="I29" s="79">
        <f t="shared" si="7"/>
        <v>44254</v>
      </c>
      <c r="J29" s="80">
        <f t="shared" si="2"/>
        <v>44254</v>
      </c>
      <c r="K29" s="81">
        <f t="shared" si="3"/>
        <v>8</v>
      </c>
      <c r="L29" s="82">
        <f>'KW 8'!$N$33</f>
        <v>0</v>
      </c>
      <c r="Q29" s="79">
        <f t="shared" si="8"/>
        <v>44282</v>
      </c>
      <c r="R29" s="80">
        <f t="shared" si="4"/>
        <v>44282</v>
      </c>
      <c r="S29" s="81">
        <f t="shared" si="5"/>
        <v>12</v>
      </c>
      <c r="T29" s="82">
        <f>'KW 12'!$N$33</f>
        <v>0</v>
      </c>
    </row>
    <row r="30" spans="1:20" x14ac:dyDescent="0.3">
      <c r="A30" s="79">
        <f t="shared" si="6"/>
        <v>44224</v>
      </c>
      <c r="B30" s="80">
        <f t="shared" si="0"/>
        <v>44224</v>
      </c>
      <c r="C30" s="81">
        <f t="shared" si="1"/>
        <v>4</v>
      </c>
      <c r="D30" s="82">
        <f>'KW 4'!$J$33</f>
        <v>0</v>
      </c>
      <c r="I30" s="79">
        <f t="shared" si="7"/>
        <v>44255</v>
      </c>
      <c r="J30" s="80">
        <f t="shared" si="2"/>
        <v>44255</v>
      </c>
      <c r="K30" s="81">
        <f t="shared" si="3"/>
        <v>8</v>
      </c>
      <c r="L30" s="82">
        <f>'KW 8'!$P$33</f>
        <v>0</v>
      </c>
      <c r="Q30" s="79">
        <f t="shared" si="8"/>
        <v>44283</v>
      </c>
      <c r="R30" s="80">
        <f t="shared" si="4"/>
        <v>44283</v>
      </c>
      <c r="S30" s="81">
        <f t="shared" si="5"/>
        <v>12</v>
      </c>
      <c r="T30" s="82">
        <f>'KW 12'!$P$33</f>
        <v>0</v>
      </c>
    </row>
    <row r="31" spans="1:20" x14ac:dyDescent="0.3">
      <c r="A31" s="79">
        <f t="shared" si="6"/>
        <v>44225</v>
      </c>
      <c r="B31" s="80">
        <f t="shared" si="0"/>
        <v>44225</v>
      </c>
      <c r="C31" s="81">
        <f t="shared" si="1"/>
        <v>4</v>
      </c>
      <c r="D31" s="82">
        <f>'KW 4'!$L$33</f>
        <v>0</v>
      </c>
      <c r="I31" s="79" t="str">
        <f t="shared" si="7"/>
        <v/>
      </c>
      <c r="J31" s="80" t="str">
        <f t="shared" si="2"/>
        <v/>
      </c>
      <c r="K31" s="81" t="str">
        <f t="shared" si="3"/>
        <v/>
      </c>
      <c r="L31" s="82" t="str">
        <f>IF(I31="","",'KW 9'!$D$33)</f>
        <v/>
      </c>
      <c r="Q31" s="79">
        <f t="shared" si="8"/>
        <v>44284</v>
      </c>
      <c r="R31" s="80">
        <f t="shared" si="4"/>
        <v>44284</v>
      </c>
      <c r="S31" s="81">
        <f t="shared" si="5"/>
        <v>13</v>
      </c>
      <c r="T31" s="82">
        <f>IF(Q31="","",'KW 13'!$D$33)</f>
        <v>0</v>
      </c>
    </row>
    <row r="32" spans="1:20" x14ac:dyDescent="0.3">
      <c r="A32" s="79">
        <f t="shared" si="6"/>
        <v>44226</v>
      </c>
      <c r="B32" s="80">
        <f t="shared" si="0"/>
        <v>44226</v>
      </c>
      <c r="C32" s="81">
        <f t="shared" si="1"/>
        <v>4</v>
      </c>
      <c r="D32" s="82">
        <f>'KW 4'!$N$33</f>
        <v>0</v>
      </c>
      <c r="I32" s="79" t="str">
        <f t="shared" si="7"/>
        <v/>
      </c>
      <c r="J32" s="80" t="str">
        <f t="shared" si="2"/>
        <v/>
      </c>
      <c r="K32" s="81" t="str">
        <f t="shared" si="3"/>
        <v/>
      </c>
      <c r="L32" s="82" t="str">
        <f>IF(I32="","",'KW 9'!$F$33)</f>
        <v/>
      </c>
      <c r="Q32" s="79">
        <f t="shared" si="8"/>
        <v>44285</v>
      </c>
      <c r="R32" s="80">
        <f t="shared" si="4"/>
        <v>44285</v>
      </c>
      <c r="S32" s="81">
        <f t="shared" si="5"/>
        <v>13</v>
      </c>
      <c r="T32" s="82">
        <f>IF(Q32="","",'KW 13'!$F$33)</f>
        <v>0</v>
      </c>
    </row>
    <row r="33" spans="1:23" ht="15" thickBot="1" x14ac:dyDescent="0.35">
      <c r="A33" s="84">
        <f t="shared" si="6"/>
        <v>44227</v>
      </c>
      <c r="B33" s="85">
        <f t="shared" si="0"/>
        <v>44227</v>
      </c>
      <c r="C33" s="86">
        <f t="shared" si="1"/>
        <v>4</v>
      </c>
      <c r="D33" s="87">
        <f>'KW 4'!$P$33</f>
        <v>0</v>
      </c>
      <c r="I33" s="84" t="str">
        <f t="shared" si="7"/>
        <v/>
      </c>
      <c r="J33" s="85" t="str">
        <f t="shared" si="2"/>
        <v/>
      </c>
      <c r="K33" s="86" t="str">
        <f t="shared" si="3"/>
        <v/>
      </c>
      <c r="L33" s="87" t="str">
        <f>IF(I33="","",'KW 9'!$H$33)</f>
        <v/>
      </c>
      <c r="Q33" s="84">
        <f t="shared" si="8"/>
        <v>44286</v>
      </c>
      <c r="R33" s="85">
        <f t="shared" si="4"/>
        <v>44286</v>
      </c>
      <c r="S33" s="86">
        <f t="shared" si="5"/>
        <v>13</v>
      </c>
      <c r="T33" s="87">
        <f>IF(Q33="","",'KW 13'!$H$33)</f>
        <v>0</v>
      </c>
    </row>
    <row r="34" spans="1:23" ht="15" thickTop="1" x14ac:dyDescent="0.3">
      <c r="C34" s="1" t="s">
        <v>51</v>
      </c>
      <c r="D34" s="59">
        <f>SUM(D3:D33)</f>
        <v>0</v>
      </c>
      <c r="K34" s="1" t="s">
        <v>54</v>
      </c>
      <c r="L34" s="59">
        <f>SUM(L3:L33)</f>
        <v>0</v>
      </c>
      <c r="S34" s="1" t="s">
        <v>61</v>
      </c>
      <c r="T34" s="59">
        <f>SUM(T3:T33)</f>
        <v>0</v>
      </c>
    </row>
    <row r="36" spans="1:23" ht="15" thickBot="1" x14ac:dyDescent="0.35">
      <c r="A36" s="75" t="s">
        <v>62</v>
      </c>
      <c r="B36" s="75">
        <f>Start!$B$1</f>
        <v>2021</v>
      </c>
      <c r="C36" s="7"/>
      <c r="D36" s="75"/>
      <c r="I36" s="75" t="s">
        <v>63</v>
      </c>
      <c r="J36" s="75">
        <f>Start!$B$1</f>
        <v>2021</v>
      </c>
      <c r="K36" s="7"/>
      <c r="L36" s="75"/>
      <c r="Q36" s="75" t="s">
        <v>64</v>
      </c>
      <c r="R36" s="75">
        <f>Start!$B$1</f>
        <v>2021</v>
      </c>
      <c r="S36" s="7"/>
      <c r="T36" s="75"/>
    </row>
    <row r="37" spans="1:23" ht="15" thickBot="1" x14ac:dyDescent="0.35">
      <c r="A37" s="76" t="s">
        <v>40</v>
      </c>
      <c r="B37" s="77" t="s">
        <v>48</v>
      </c>
      <c r="C37" s="77" t="s">
        <v>49</v>
      </c>
      <c r="D37" s="78" t="s">
        <v>50</v>
      </c>
      <c r="F37" s="76" t="s">
        <v>59</v>
      </c>
      <c r="G37" s="88">
        <f>SUMIF($C$38:$C$68,"13",$D$38:$D$68)</f>
        <v>0</v>
      </c>
      <c r="I37" s="76" t="s">
        <v>40</v>
      </c>
      <c r="J37" s="77" t="s">
        <v>48</v>
      </c>
      <c r="K37" s="77" t="s">
        <v>49</v>
      </c>
      <c r="L37" s="78" t="s">
        <v>50</v>
      </c>
      <c r="N37" s="76" t="s">
        <v>83</v>
      </c>
      <c r="O37" s="88">
        <f>SUMIF($K$38:$K$68,"17",$L$38:$L$68)</f>
        <v>0</v>
      </c>
      <c r="Q37" s="96" t="s">
        <v>40</v>
      </c>
      <c r="R37" s="97" t="s">
        <v>48</v>
      </c>
      <c r="S37" s="97" t="s">
        <v>49</v>
      </c>
      <c r="T37" s="98" t="s">
        <v>50</v>
      </c>
      <c r="V37" s="76" t="s">
        <v>88</v>
      </c>
      <c r="W37" s="88">
        <f>SUMIF($S$38:$S$68,"22",$T$38:$T$68)</f>
        <v>0</v>
      </c>
    </row>
    <row r="38" spans="1:23" x14ac:dyDescent="0.3">
      <c r="A38" s="79">
        <f>DATE(B36,4,1)</f>
        <v>44287</v>
      </c>
      <c r="B38" s="80">
        <f>A38</f>
        <v>44287</v>
      </c>
      <c r="C38" s="81">
        <f>IF(A38="","",WEEKNUM(A38,21))</f>
        <v>13</v>
      </c>
      <c r="D38" s="82">
        <f>'KW 13'!$J$33</f>
        <v>0</v>
      </c>
      <c r="F38" s="89" t="s">
        <v>80</v>
      </c>
      <c r="G38" s="82">
        <f>SUMIF($C$38:$C$68,"14",$D$38:$D$68)</f>
        <v>0</v>
      </c>
      <c r="I38" s="79">
        <f>DATE(J36,5,1)</f>
        <v>44317</v>
      </c>
      <c r="J38" s="80">
        <f>I38</f>
        <v>44317</v>
      </c>
      <c r="K38" s="81">
        <f>IF(I38="","",WEEKNUM(I38,21))</f>
        <v>17</v>
      </c>
      <c r="L38" s="82">
        <f>'KW 17'!$D$33</f>
        <v>0</v>
      </c>
      <c r="N38" s="89" t="s">
        <v>84</v>
      </c>
      <c r="O38" s="82">
        <f>SUMIF($K$38:$K$68,"18",$L$38:$L$68)</f>
        <v>0</v>
      </c>
      <c r="Q38" s="99">
        <f>DATE(R36,6,1)</f>
        <v>44348</v>
      </c>
      <c r="R38" s="100">
        <f>Q38</f>
        <v>44348</v>
      </c>
      <c r="S38" s="101">
        <f>IF(Q38="","",WEEKNUM(Q38,21))</f>
        <v>22</v>
      </c>
      <c r="T38" s="88">
        <f>'KW 22'!$F$33</f>
        <v>0</v>
      </c>
      <c r="V38" s="89" t="s">
        <v>98</v>
      </c>
      <c r="W38" s="82">
        <f>SUMIF($S$38:$S$68,"23",$T$38:$T$68)</f>
        <v>0</v>
      </c>
    </row>
    <row r="39" spans="1:23" x14ac:dyDescent="0.3">
      <c r="A39" s="153">
        <f>IFERROR(IF(MONTH(A38+1)=MONTH(A$38),A38+1,""),"")</f>
        <v>44288</v>
      </c>
      <c r="B39" s="154">
        <f t="shared" ref="B39:B68" si="9">A39</f>
        <v>44288</v>
      </c>
      <c r="C39" s="155">
        <f t="shared" ref="C39:C68" si="10">IF(A39="","",WEEKNUM(A39,21))</f>
        <v>13</v>
      </c>
      <c r="D39" s="156">
        <f>'KW 13'!$L$33</f>
        <v>0</v>
      </c>
      <c r="F39" s="89" t="s">
        <v>81</v>
      </c>
      <c r="G39" s="82">
        <f>SUMIF($C$38:$C$68,"15",$D$38:$D$68)</f>
        <v>0</v>
      </c>
      <c r="I39" s="79">
        <f>IFERROR(IF(MONTH(I38+1)=MONTH(I$38),I38+1,""),"")</f>
        <v>44318</v>
      </c>
      <c r="J39" s="80">
        <f t="shared" ref="J39:J68" si="11">I39</f>
        <v>44318</v>
      </c>
      <c r="K39" s="81">
        <f t="shared" ref="K39:K68" si="12">IF(I39="","",WEEKNUM(I39,21))</f>
        <v>17</v>
      </c>
      <c r="L39" s="82">
        <f>'KW 17'!$F$33</f>
        <v>0</v>
      </c>
      <c r="N39" s="89" t="s">
        <v>85</v>
      </c>
      <c r="O39" s="82">
        <f>SUMIF($K$38:$K$68,"19",$L$38:$L$68)</f>
        <v>0</v>
      </c>
      <c r="Q39" s="79">
        <f>IFERROR(IF(MONTH(Q38+1)=MONTH(Q$38),Q38+1,""),"")</f>
        <v>44349</v>
      </c>
      <c r="R39" s="80">
        <f t="shared" ref="R39:R68" si="13">Q39</f>
        <v>44349</v>
      </c>
      <c r="S39" s="81">
        <f t="shared" ref="S39:S68" si="14">IF(Q39="","",WEEKNUM(Q39,21))</f>
        <v>22</v>
      </c>
      <c r="T39" s="82">
        <f>'KW 22'!$H$33</f>
        <v>0</v>
      </c>
      <c r="V39" s="89" t="s">
        <v>99</v>
      </c>
      <c r="W39" s="82">
        <f>SUMIF($S$38:$S$68,"24",$T$38:$T$68)</f>
        <v>0</v>
      </c>
    </row>
    <row r="40" spans="1:23" x14ac:dyDescent="0.3">
      <c r="A40" s="79">
        <f t="shared" ref="A40:A68" si="15">IFERROR(IF(MONTH(A39+1)=MONTH(A$38),A39+1,""),"")</f>
        <v>44289</v>
      </c>
      <c r="B40" s="80">
        <f t="shared" si="9"/>
        <v>44289</v>
      </c>
      <c r="C40" s="81">
        <f t="shared" si="10"/>
        <v>13</v>
      </c>
      <c r="D40" s="82">
        <f>'KW 13'!$N$33</f>
        <v>0</v>
      </c>
      <c r="F40" s="89" t="s">
        <v>82</v>
      </c>
      <c r="G40" s="82">
        <f>SUMIF($C$38:$C$68,"16",$D$38:$D$68)</f>
        <v>0</v>
      </c>
      <c r="I40" s="79">
        <f t="shared" ref="I40:I68" si="16">IFERROR(IF(MONTH(I39+1)=MONTH(I$38),I39+1,""),"")</f>
        <v>44319</v>
      </c>
      <c r="J40" s="80">
        <f t="shared" si="11"/>
        <v>44319</v>
      </c>
      <c r="K40" s="81">
        <f t="shared" si="12"/>
        <v>18</v>
      </c>
      <c r="L40" s="94">
        <f>'KW 18'!$D$33</f>
        <v>0</v>
      </c>
      <c r="N40" s="89" t="s">
        <v>86</v>
      </c>
      <c r="O40" s="82">
        <f>SUMIF($K$38:$K$68,"20",$L$38:$L$68)</f>
        <v>0</v>
      </c>
      <c r="Q40" s="153">
        <f t="shared" ref="Q40:Q68" si="17">IFERROR(IF(MONTH(Q39+1)=MONTH(Q$38),Q39+1,""),"")</f>
        <v>44350</v>
      </c>
      <c r="R40" s="154">
        <f t="shared" si="13"/>
        <v>44350</v>
      </c>
      <c r="S40" s="155">
        <f t="shared" si="14"/>
        <v>22</v>
      </c>
      <c r="T40" s="156">
        <f>'KW 22'!$J$33</f>
        <v>0</v>
      </c>
      <c r="V40" s="89" t="s">
        <v>100</v>
      </c>
      <c r="W40" s="82">
        <f>SUMIF($S$38:$S$68,"25",$T$38:$T$68)</f>
        <v>0</v>
      </c>
    </row>
    <row r="41" spans="1:23" x14ac:dyDescent="0.3">
      <c r="A41" s="79">
        <f t="shared" si="15"/>
        <v>44290</v>
      </c>
      <c r="B41" s="80">
        <f t="shared" si="9"/>
        <v>44290</v>
      </c>
      <c r="C41" s="81">
        <f t="shared" si="10"/>
        <v>13</v>
      </c>
      <c r="D41" s="82">
        <f>'KW 13'!$P$33</f>
        <v>0</v>
      </c>
      <c r="F41" s="89" t="s">
        <v>83</v>
      </c>
      <c r="G41" s="82">
        <f>SUMIF($C$38:$C$68,"17",$D$38:$D$68)</f>
        <v>0</v>
      </c>
      <c r="I41" s="79">
        <f t="shared" si="16"/>
        <v>44320</v>
      </c>
      <c r="J41" s="80">
        <f t="shared" si="11"/>
        <v>44320</v>
      </c>
      <c r="K41" s="81">
        <f t="shared" si="12"/>
        <v>18</v>
      </c>
      <c r="L41" s="82">
        <f>'KW 18'!$F$33</f>
        <v>0</v>
      </c>
      <c r="N41" s="89" t="s">
        <v>87</v>
      </c>
      <c r="O41" s="82">
        <f>SUMIF($K$38:$K$68,"21",$L$38:$L$68)</f>
        <v>0</v>
      </c>
      <c r="Q41" s="79">
        <f t="shared" si="17"/>
        <v>44351</v>
      </c>
      <c r="R41" s="80">
        <f t="shared" si="13"/>
        <v>44351</v>
      </c>
      <c r="S41" s="81">
        <f t="shared" si="14"/>
        <v>22</v>
      </c>
      <c r="T41" s="82">
        <f>'KW 22'!$L$33</f>
        <v>0</v>
      </c>
      <c r="V41" s="89" t="s">
        <v>101</v>
      </c>
      <c r="W41" s="82">
        <f>SUMIF($S$38:$S$68,"26",$T$38:$T$68)</f>
        <v>0</v>
      </c>
    </row>
    <row r="42" spans="1:23" ht="15" thickBot="1" x14ac:dyDescent="0.35">
      <c r="A42" s="150">
        <f t="shared" si="15"/>
        <v>44291</v>
      </c>
      <c r="B42" s="151">
        <f t="shared" si="9"/>
        <v>44291</v>
      </c>
      <c r="C42" s="152">
        <f t="shared" si="10"/>
        <v>14</v>
      </c>
      <c r="D42" s="157">
        <f>'KW 14'!$D$33</f>
        <v>0</v>
      </c>
      <c r="F42" s="90" t="s">
        <v>84</v>
      </c>
      <c r="G42" s="82">
        <f>SUMIF($C$38:$C$68,"18",$D$38:$D$68)</f>
        <v>0</v>
      </c>
      <c r="I42" s="79">
        <f t="shared" si="16"/>
        <v>44321</v>
      </c>
      <c r="J42" s="80">
        <f t="shared" si="11"/>
        <v>44321</v>
      </c>
      <c r="K42" s="81">
        <f t="shared" si="12"/>
        <v>18</v>
      </c>
      <c r="L42" s="82">
        <f>'KW 18'!$H$33</f>
        <v>0</v>
      </c>
      <c r="N42" s="90" t="s">
        <v>88</v>
      </c>
      <c r="O42" s="82">
        <f>SUMIF($K$38:$K$68,"22",$L$38:$L$68)</f>
        <v>0</v>
      </c>
      <c r="Q42" s="79">
        <f t="shared" si="17"/>
        <v>44352</v>
      </c>
      <c r="R42" s="80">
        <f t="shared" si="13"/>
        <v>44352</v>
      </c>
      <c r="S42" s="81">
        <f t="shared" si="14"/>
        <v>22</v>
      </c>
      <c r="T42" s="82">
        <f>'KW 22'!$N$33</f>
        <v>0</v>
      </c>
      <c r="V42" s="90" t="s">
        <v>102</v>
      </c>
      <c r="W42" s="82">
        <f>SUMIF($S$38:$S$68,"27",$T$38:$T$68)</f>
        <v>0</v>
      </c>
    </row>
    <row r="43" spans="1:23" x14ac:dyDescent="0.3">
      <c r="A43" s="79">
        <f t="shared" si="15"/>
        <v>44292</v>
      </c>
      <c r="B43" s="80">
        <f t="shared" si="9"/>
        <v>44292</v>
      </c>
      <c r="C43" s="81">
        <f t="shared" si="10"/>
        <v>14</v>
      </c>
      <c r="D43" s="82">
        <f>'KW 14'!$F$33</f>
        <v>0</v>
      </c>
      <c r="I43" s="79">
        <f t="shared" si="16"/>
        <v>44322</v>
      </c>
      <c r="J43" s="80">
        <f t="shared" si="11"/>
        <v>44322</v>
      </c>
      <c r="K43" s="81">
        <f t="shared" si="12"/>
        <v>18</v>
      </c>
      <c r="L43" s="82">
        <f>'KW 18'!$J$33</f>
        <v>0</v>
      </c>
      <c r="Q43" s="79">
        <f t="shared" si="17"/>
        <v>44353</v>
      </c>
      <c r="R43" s="80">
        <f t="shared" si="13"/>
        <v>44353</v>
      </c>
      <c r="S43" s="81">
        <f t="shared" si="14"/>
        <v>22</v>
      </c>
      <c r="T43" s="82">
        <f>'KW 22'!$P$33</f>
        <v>0</v>
      </c>
    </row>
    <row r="44" spans="1:23" x14ac:dyDescent="0.3">
      <c r="A44" s="79">
        <f t="shared" si="15"/>
        <v>44293</v>
      </c>
      <c r="B44" s="80">
        <f t="shared" si="9"/>
        <v>44293</v>
      </c>
      <c r="C44" s="81">
        <f t="shared" si="10"/>
        <v>14</v>
      </c>
      <c r="D44" s="82">
        <f>'KW 14'!$H$33</f>
        <v>0</v>
      </c>
      <c r="F44" s="7" t="s">
        <v>0</v>
      </c>
      <c r="G44" s="93">
        <f>SUM(G37:G42)</f>
        <v>0</v>
      </c>
      <c r="I44" s="79">
        <f t="shared" si="16"/>
        <v>44323</v>
      </c>
      <c r="J44" s="80">
        <f t="shared" si="11"/>
        <v>44323</v>
      </c>
      <c r="K44" s="81">
        <f t="shared" si="12"/>
        <v>18</v>
      </c>
      <c r="L44" s="82">
        <f>'KW 18'!$L$33</f>
        <v>0</v>
      </c>
      <c r="N44" s="7" t="s">
        <v>0</v>
      </c>
      <c r="O44" s="93">
        <f>SUM(O37:O42)</f>
        <v>0</v>
      </c>
      <c r="Q44" s="79">
        <f t="shared" si="17"/>
        <v>44354</v>
      </c>
      <c r="R44" s="80">
        <f t="shared" si="13"/>
        <v>44354</v>
      </c>
      <c r="S44" s="81">
        <f t="shared" si="14"/>
        <v>23</v>
      </c>
      <c r="T44" s="94">
        <f>'KW 23'!$D$33</f>
        <v>0</v>
      </c>
      <c r="V44" s="7" t="s">
        <v>0</v>
      </c>
      <c r="W44" s="93">
        <f>SUM(W37:W42)</f>
        <v>0</v>
      </c>
    </row>
    <row r="45" spans="1:23" x14ac:dyDescent="0.3">
      <c r="A45" s="79">
        <f t="shared" si="15"/>
        <v>44294</v>
      </c>
      <c r="B45" s="80">
        <f t="shared" si="9"/>
        <v>44294</v>
      </c>
      <c r="C45" s="81">
        <f t="shared" si="10"/>
        <v>14</v>
      </c>
      <c r="D45" s="82">
        <f>'KW 14'!$J$33</f>
        <v>0</v>
      </c>
      <c r="I45" s="79">
        <f t="shared" si="16"/>
        <v>44324</v>
      </c>
      <c r="J45" s="80">
        <f t="shared" si="11"/>
        <v>44324</v>
      </c>
      <c r="K45" s="81">
        <f t="shared" si="12"/>
        <v>18</v>
      </c>
      <c r="L45" s="82">
        <f>'KW 18'!$N$33</f>
        <v>0</v>
      </c>
      <c r="Q45" s="79">
        <f t="shared" si="17"/>
        <v>44355</v>
      </c>
      <c r="R45" s="80">
        <f t="shared" si="13"/>
        <v>44355</v>
      </c>
      <c r="S45" s="81">
        <f t="shared" si="14"/>
        <v>23</v>
      </c>
      <c r="T45" s="82">
        <f>'KW 23'!$F$33</f>
        <v>0</v>
      </c>
    </row>
    <row r="46" spans="1:23" x14ac:dyDescent="0.3">
      <c r="A46" s="79">
        <f t="shared" si="15"/>
        <v>44295</v>
      </c>
      <c r="B46" s="80">
        <f t="shared" si="9"/>
        <v>44295</v>
      </c>
      <c r="C46" s="81">
        <f t="shared" si="10"/>
        <v>14</v>
      </c>
      <c r="D46" s="82">
        <f>'KW 14'!$L$33</f>
        <v>0</v>
      </c>
      <c r="I46" s="79">
        <f t="shared" si="16"/>
        <v>44325</v>
      </c>
      <c r="J46" s="80">
        <f t="shared" si="11"/>
        <v>44325</v>
      </c>
      <c r="K46" s="81">
        <f t="shared" si="12"/>
        <v>18</v>
      </c>
      <c r="L46" s="82">
        <f>'KW 18'!$P$33</f>
        <v>0</v>
      </c>
      <c r="Q46" s="79">
        <f t="shared" si="17"/>
        <v>44356</v>
      </c>
      <c r="R46" s="80">
        <f t="shared" si="13"/>
        <v>44356</v>
      </c>
      <c r="S46" s="81">
        <f t="shared" si="14"/>
        <v>23</v>
      </c>
      <c r="T46" s="82">
        <f>'KW 23'!$H$33</f>
        <v>0</v>
      </c>
    </row>
    <row r="47" spans="1:23" x14ac:dyDescent="0.3">
      <c r="A47" s="79">
        <f t="shared" si="15"/>
        <v>44296</v>
      </c>
      <c r="B47" s="80">
        <f t="shared" si="9"/>
        <v>44296</v>
      </c>
      <c r="C47" s="81">
        <f t="shared" si="10"/>
        <v>14</v>
      </c>
      <c r="D47" s="82">
        <f>'KW 14'!$N$33</f>
        <v>0</v>
      </c>
      <c r="I47" s="79">
        <f t="shared" si="16"/>
        <v>44326</v>
      </c>
      <c r="J47" s="80">
        <f t="shared" si="11"/>
        <v>44326</v>
      </c>
      <c r="K47" s="81">
        <f t="shared" si="12"/>
        <v>19</v>
      </c>
      <c r="L47" s="94">
        <f>'KW 19'!$D$33</f>
        <v>0</v>
      </c>
      <c r="Q47" s="79">
        <f t="shared" si="17"/>
        <v>44357</v>
      </c>
      <c r="R47" s="80">
        <f t="shared" si="13"/>
        <v>44357</v>
      </c>
      <c r="S47" s="81">
        <f t="shared" si="14"/>
        <v>23</v>
      </c>
      <c r="T47" s="82">
        <f>'KW 23'!$J$33</f>
        <v>0</v>
      </c>
    </row>
    <row r="48" spans="1:23" ht="15" thickBot="1" x14ac:dyDescent="0.35">
      <c r="A48" s="79">
        <f t="shared" si="15"/>
        <v>44297</v>
      </c>
      <c r="B48" s="80">
        <f t="shared" si="9"/>
        <v>44297</v>
      </c>
      <c r="C48" s="81">
        <f t="shared" si="10"/>
        <v>14</v>
      </c>
      <c r="D48" s="87">
        <f>'KW 14'!$P$33</f>
        <v>0</v>
      </c>
      <c r="I48" s="79">
        <f t="shared" si="16"/>
        <v>44327</v>
      </c>
      <c r="J48" s="80">
        <f t="shared" si="11"/>
        <v>44327</v>
      </c>
      <c r="K48" s="81">
        <f t="shared" si="12"/>
        <v>19</v>
      </c>
      <c r="L48" s="82">
        <f>'KW 19'!$F$33</f>
        <v>0</v>
      </c>
      <c r="Q48" s="79">
        <f t="shared" si="17"/>
        <v>44358</v>
      </c>
      <c r="R48" s="80">
        <f t="shared" si="13"/>
        <v>44358</v>
      </c>
      <c r="S48" s="81">
        <f t="shared" si="14"/>
        <v>23</v>
      </c>
      <c r="T48" s="82">
        <f>'KW 23'!$L$33</f>
        <v>0</v>
      </c>
    </row>
    <row r="49" spans="1:20" ht="15" thickTop="1" x14ac:dyDescent="0.3">
      <c r="A49" s="79">
        <f t="shared" si="15"/>
        <v>44298</v>
      </c>
      <c r="B49" s="80">
        <f t="shared" si="9"/>
        <v>44298</v>
      </c>
      <c r="C49" s="81">
        <f t="shared" si="10"/>
        <v>15</v>
      </c>
      <c r="D49" s="82">
        <f>'KW 15'!$D$33</f>
        <v>0</v>
      </c>
      <c r="I49" s="79">
        <f t="shared" si="16"/>
        <v>44328</v>
      </c>
      <c r="J49" s="80">
        <f t="shared" si="11"/>
        <v>44328</v>
      </c>
      <c r="K49" s="81">
        <f t="shared" si="12"/>
        <v>19</v>
      </c>
      <c r="L49" s="82">
        <f>'KW 19'!$H$33</f>
        <v>0</v>
      </c>
      <c r="Q49" s="79">
        <f t="shared" si="17"/>
        <v>44359</v>
      </c>
      <c r="R49" s="80">
        <f t="shared" si="13"/>
        <v>44359</v>
      </c>
      <c r="S49" s="81">
        <f t="shared" si="14"/>
        <v>23</v>
      </c>
      <c r="T49" s="82">
        <f>'KW 23'!$N$33</f>
        <v>0</v>
      </c>
    </row>
    <row r="50" spans="1:20" x14ac:dyDescent="0.3">
      <c r="A50" s="79">
        <f t="shared" si="15"/>
        <v>44299</v>
      </c>
      <c r="B50" s="80">
        <f t="shared" si="9"/>
        <v>44299</v>
      </c>
      <c r="C50" s="81">
        <f t="shared" si="10"/>
        <v>15</v>
      </c>
      <c r="D50" s="82">
        <f>'KW 15'!$F$33</f>
        <v>0</v>
      </c>
      <c r="I50" s="150">
        <f t="shared" si="16"/>
        <v>44329</v>
      </c>
      <c r="J50" s="151">
        <f t="shared" si="11"/>
        <v>44329</v>
      </c>
      <c r="K50" s="152">
        <f t="shared" si="12"/>
        <v>19</v>
      </c>
      <c r="L50" s="94">
        <f>'KW 19'!$J$33</f>
        <v>0</v>
      </c>
      <c r="Q50" s="79">
        <f t="shared" si="17"/>
        <v>44360</v>
      </c>
      <c r="R50" s="80">
        <f t="shared" si="13"/>
        <v>44360</v>
      </c>
      <c r="S50" s="81">
        <f t="shared" si="14"/>
        <v>23</v>
      </c>
      <c r="T50" s="82">
        <f>'KW 23'!$P$33</f>
        <v>0</v>
      </c>
    </row>
    <row r="51" spans="1:20" x14ac:dyDescent="0.3">
      <c r="A51" s="79">
        <f t="shared" si="15"/>
        <v>44300</v>
      </c>
      <c r="B51" s="80">
        <f t="shared" si="9"/>
        <v>44300</v>
      </c>
      <c r="C51" s="81">
        <f t="shared" si="10"/>
        <v>15</v>
      </c>
      <c r="D51" s="82">
        <f>'KW 15'!$H$33</f>
        <v>0</v>
      </c>
      <c r="I51" s="79">
        <f t="shared" si="16"/>
        <v>44330</v>
      </c>
      <c r="J51" s="80">
        <f t="shared" si="11"/>
        <v>44330</v>
      </c>
      <c r="K51" s="81">
        <f t="shared" si="12"/>
        <v>19</v>
      </c>
      <c r="L51" s="82">
        <f>'KW 19'!$L$33</f>
        <v>0</v>
      </c>
      <c r="Q51" s="79">
        <f t="shared" si="17"/>
        <v>44361</v>
      </c>
      <c r="R51" s="80">
        <f t="shared" si="13"/>
        <v>44361</v>
      </c>
      <c r="S51" s="81">
        <f t="shared" si="14"/>
        <v>24</v>
      </c>
      <c r="T51" s="94">
        <f>'KW 24'!$D$33</f>
        <v>0</v>
      </c>
    </row>
    <row r="52" spans="1:20" x14ac:dyDescent="0.3">
      <c r="A52" s="79">
        <f t="shared" si="15"/>
        <v>44301</v>
      </c>
      <c r="B52" s="80">
        <f t="shared" si="9"/>
        <v>44301</v>
      </c>
      <c r="C52" s="81">
        <f t="shared" si="10"/>
        <v>15</v>
      </c>
      <c r="D52" s="82">
        <f>'KW 15'!$J$33</f>
        <v>0</v>
      </c>
      <c r="I52" s="79">
        <f t="shared" si="16"/>
        <v>44331</v>
      </c>
      <c r="J52" s="80">
        <f t="shared" si="11"/>
        <v>44331</v>
      </c>
      <c r="K52" s="81">
        <f t="shared" si="12"/>
        <v>19</v>
      </c>
      <c r="L52" s="82">
        <f>'KW 19'!$N$33</f>
        <v>0</v>
      </c>
      <c r="Q52" s="79">
        <f t="shared" si="17"/>
        <v>44362</v>
      </c>
      <c r="R52" s="80">
        <f t="shared" si="13"/>
        <v>44362</v>
      </c>
      <c r="S52" s="81">
        <f t="shared" si="14"/>
        <v>24</v>
      </c>
      <c r="T52" s="82">
        <f>'KW 24'!$F$33</f>
        <v>0</v>
      </c>
    </row>
    <row r="53" spans="1:20" x14ac:dyDescent="0.3">
      <c r="A53" s="79">
        <f t="shared" si="15"/>
        <v>44302</v>
      </c>
      <c r="B53" s="80">
        <f t="shared" si="9"/>
        <v>44302</v>
      </c>
      <c r="C53" s="81">
        <f t="shared" si="10"/>
        <v>15</v>
      </c>
      <c r="D53" s="82">
        <f>'KW 15'!$L$33</f>
        <v>0</v>
      </c>
      <c r="I53" s="79">
        <f t="shared" si="16"/>
        <v>44332</v>
      </c>
      <c r="J53" s="80">
        <f t="shared" si="11"/>
        <v>44332</v>
      </c>
      <c r="K53" s="81">
        <f t="shared" si="12"/>
        <v>19</v>
      </c>
      <c r="L53" s="82">
        <f>'KW 19'!$P$33</f>
        <v>0</v>
      </c>
      <c r="Q53" s="79">
        <f t="shared" si="17"/>
        <v>44363</v>
      </c>
      <c r="R53" s="80">
        <f t="shared" si="13"/>
        <v>44363</v>
      </c>
      <c r="S53" s="81">
        <f t="shared" si="14"/>
        <v>24</v>
      </c>
      <c r="T53" s="82">
        <f>'KW 24'!$H$33</f>
        <v>0</v>
      </c>
    </row>
    <row r="54" spans="1:20" x14ac:dyDescent="0.3">
      <c r="A54" s="79">
        <f t="shared" si="15"/>
        <v>44303</v>
      </c>
      <c r="B54" s="80">
        <f t="shared" si="9"/>
        <v>44303</v>
      </c>
      <c r="C54" s="81">
        <f t="shared" si="10"/>
        <v>15</v>
      </c>
      <c r="D54" s="82">
        <f>'KW 15'!$N$33</f>
        <v>0</v>
      </c>
      <c r="I54" s="79">
        <f t="shared" si="16"/>
        <v>44333</v>
      </c>
      <c r="J54" s="80">
        <f t="shared" si="11"/>
        <v>44333</v>
      </c>
      <c r="K54" s="81">
        <f t="shared" si="12"/>
        <v>20</v>
      </c>
      <c r="L54" s="94">
        <f>'KW 20'!$D$33</f>
        <v>0</v>
      </c>
      <c r="Q54" s="79">
        <f t="shared" si="17"/>
        <v>44364</v>
      </c>
      <c r="R54" s="80">
        <f t="shared" si="13"/>
        <v>44364</v>
      </c>
      <c r="S54" s="81">
        <f t="shared" si="14"/>
        <v>24</v>
      </c>
      <c r="T54" s="82">
        <f>'KW 24'!$J$33</f>
        <v>0</v>
      </c>
    </row>
    <row r="55" spans="1:20" ht="15" thickBot="1" x14ac:dyDescent="0.35">
      <c r="A55" s="79">
        <f t="shared" si="15"/>
        <v>44304</v>
      </c>
      <c r="B55" s="80">
        <f t="shared" si="9"/>
        <v>44304</v>
      </c>
      <c r="C55" s="81">
        <f t="shared" si="10"/>
        <v>15</v>
      </c>
      <c r="D55" s="87">
        <f>'KW 15'!$P$33</f>
        <v>0</v>
      </c>
      <c r="I55" s="79">
        <f t="shared" si="16"/>
        <v>44334</v>
      </c>
      <c r="J55" s="80">
        <f t="shared" si="11"/>
        <v>44334</v>
      </c>
      <c r="K55" s="81">
        <f t="shared" si="12"/>
        <v>20</v>
      </c>
      <c r="L55" s="82">
        <f>'KW 20'!$F$33</f>
        <v>0</v>
      </c>
      <c r="Q55" s="79">
        <f t="shared" si="17"/>
        <v>44365</v>
      </c>
      <c r="R55" s="80">
        <f t="shared" si="13"/>
        <v>44365</v>
      </c>
      <c r="S55" s="81">
        <f t="shared" si="14"/>
        <v>24</v>
      </c>
      <c r="T55" s="82">
        <f>'KW 24'!$L$33</f>
        <v>0</v>
      </c>
    </row>
    <row r="56" spans="1:20" ht="15" thickTop="1" x14ac:dyDescent="0.3">
      <c r="A56" s="79">
        <f t="shared" si="15"/>
        <v>44305</v>
      </c>
      <c r="B56" s="80">
        <f t="shared" si="9"/>
        <v>44305</v>
      </c>
      <c r="C56" s="81">
        <f t="shared" si="10"/>
        <v>16</v>
      </c>
      <c r="D56" s="82">
        <f>'KW 16'!$D$33</f>
        <v>0</v>
      </c>
      <c r="I56" s="79">
        <f t="shared" si="16"/>
        <v>44335</v>
      </c>
      <c r="J56" s="80">
        <f t="shared" si="11"/>
        <v>44335</v>
      </c>
      <c r="K56" s="81">
        <f t="shared" si="12"/>
        <v>20</v>
      </c>
      <c r="L56" s="82">
        <f>'KW 20'!$H$33</f>
        <v>0</v>
      </c>
      <c r="Q56" s="79">
        <f t="shared" si="17"/>
        <v>44366</v>
      </c>
      <c r="R56" s="80">
        <f t="shared" si="13"/>
        <v>44366</v>
      </c>
      <c r="S56" s="81">
        <f t="shared" si="14"/>
        <v>24</v>
      </c>
      <c r="T56" s="82">
        <f>'KW 24'!$N$33</f>
        <v>0</v>
      </c>
    </row>
    <row r="57" spans="1:20" x14ac:dyDescent="0.3">
      <c r="A57" s="79">
        <f t="shared" si="15"/>
        <v>44306</v>
      </c>
      <c r="B57" s="80">
        <f t="shared" si="9"/>
        <v>44306</v>
      </c>
      <c r="C57" s="81">
        <f t="shared" si="10"/>
        <v>16</v>
      </c>
      <c r="D57" s="82">
        <f>'KW 16'!$F$33</f>
        <v>0</v>
      </c>
      <c r="I57" s="79">
        <f t="shared" si="16"/>
        <v>44336</v>
      </c>
      <c r="J57" s="80">
        <f t="shared" si="11"/>
        <v>44336</v>
      </c>
      <c r="K57" s="81">
        <f t="shared" si="12"/>
        <v>20</v>
      </c>
      <c r="L57" s="82">
        <f>'KW 20'!$J$33</f>
        <v>0</v>
      </c>
      <c r="Q57" s="79">
        <f t="shared" si="17"/>
        <v>44367</v>
      </c>
      <c r="R57" s="80">
        <f t="shared" si="13"/>
        <v>44367</v>
      </c>
      <c r="S57" s="81">
        <f t="shared" si="14"/>
        <v>24</v>
      </c>
      <c r="T57" s="82">
        <f>'KW 24'!$P$33</f>
        <v>0</v>
      </c>
    </row>
    <row r="58" spans="1:20" x14ac:dyDescent="0.3">
      <c r="A58" s="79">
        <f t="shared" si="15"/>
        <v>44307</v>
      </c>
      <c r="B58" s="80">
        <f t="shared" si="9"/>
        <v>44307</v>
      </c>
      <c r="C58" s="81">
        <f t="shared" si="10"/>
        <v>16</v>
      </c>
      <c r="D58" s="82">
        <f>'KW 16'!$H$33</f>
        <v>0</v>
      </c>
      <c r="I58" s="79">
        <f t="shared" si="16"/>
        <v>44337</v>
      </c>
      <c r="J58" s="80">
        <f t="shared" si="11"/>
        <v>44337</v>
      </c>
      <c r="K58" s="81">
        <f t="shared" si="12"/>
        <v>20</v>
      </c>
      <c r="L58" s="82">
        <f>'KW 20'!$L$33</f>
        <v>0</v>
      </c>
      <c r="Q58" s="79">
        <f t="shared" si="17"/>
        <v>44368</v>
      </c>
      <c r="R58" s="80">
        <f t="shared" si="13"/>
        <v>44368</v>
      </c>
      <c r="S58" s="81">
        <f t="shared" si="14"/>
        <v>25</v>
      </c>
      <c r="T58" s="94">
        <f>'KW 25'!$D$33</f>
        <v>0</v>
      </c>
    </row>
    <row r="59" spans="1:20" x14ac:dyDescent="0.3">
      <c r="A59" s="79">
        <f t="shared" si="15"/>
        <v>44308</v>
      </c>
      <c r="B59" s="80">
        <f t="shared" si="9"/>
        <v>44308</v>
      </c>
      <c r="C59" s="81">
        <f t="shared" si="10"/>
        <v>16</v>
      </c>
      <c r="D59" s="82">
        <f>'KW 16'!$J$33</f>
        <v>0</v>
      </c>
      <c r="I59" s="79">
        <f t="shared" si="16"/>
        <v>44338</v>
      </c>
      <c r="J59" s="80">
        <f t="shared" si="11"/>
        <v>44338</v>
      </c>
      <c r="K59" s="81">
        <f t="shared" si="12"/>
        <v>20</v>
      </c>
      <c r="L59" s="82">
        <f>'KW 20'!$N$33</f>
        <v>0</v>
      </c>
      <c r="Q59" s="79">
        <f t="shared" si="17"/>
        <v>44369</v>
      </c>
      <c r="R59" s="80">
        <f t="shared" si="13"/>
        <v>44369</v>
      </c>
      <c r="S59" s="81">
        <f t="shared" si="14"/>
        <v>25</v>
      </c>
      <c r="T59" s="82">
        <f>'KW 25'!$F$33</f>
        <v>0</v>
      </c>
    </row>
    <row r="60" spans="1:20" x14ac:dyDescent="0.3">
      <c r="A60" s="79">
        <f t="shared" si="15"/>
        <v>44309</v>
      </c>
      <c r="B60" s="80">
        <f t="shared" si="9"/>
        <v>44309</v>
      </c>
      <c r="C60" s="81">
        <f t="shared" si="10"/>
        <v>16</v>
      </c>
      <c r="D60" s="82">
        <f>'KW 16'!$L$33</f>
        <v>0</v>
      </c>
      <c r="I60" s="79">
        <f t="shared" si="16"/>
        <v>44339</v>
      </c>
      <c r="J60" s="80">
        <f t="shared" si="11"/>
        <v>44339</v>
      </c>
      <c r="K60" s="81">
        <f t="shared" si="12"/>
        <v>20</v>
      </c>
      <c r="L60" s="82">
        <f>'KW 20'!$P$33</f>
        <v>0</v>
      </c>
      <c r="Q60" s="79">
        <f t="shared" si="17"/>
        <v>44370</v>
      </c>
      <c r="R60" s="80">
        <f t="shared" si="13"/>
        <v>44370</v>
      </c>
      <c r="S60" s="81">
        <f t="shared" si="14"/>
        <v>25</v>
      </c>
      <c r="T60" s="82">
        <f>'KW 25'!$H$33</f>
        <v>0</v>
      </c>
    </row>
    <row r="61" spans="1:20" x14ac:dyDescent="0.3">
      <c r="A61" s="79">
        <f t="shared" si="15"/>
        <v>44310</v>
      </c>
      <c r="B61" s="80">
        <f t="shared" si="9"/>
        <v>44310</v>
      </c>
      <c r="C61" s="81">
        <f t="shared" si="10"/>
        <v>16</v>
      </c>
      <c r="D61" s="82">
        <f>'KW 16'!$N$33</f>
        <v>0</v>
      </c>
      <c r="I61" s="150">
        <f t="shared" si="16"/>
        <v>44340</v>
      </c>
      <c r="J61" s="151">
        <f t="shared" si="11"/>
        <v>44340</v>
      </c>
      <c r="K61" s="152">
        <f t="shared" si="12"/>
        <v>21</v>
      </c>
      <c r="L61" s="94">
        <f>'KW 21'!$D$33</f>
        <v>0</v>
      </c>
      <c r="Q61" s="79">
        <f t="shared" si="17"/>
        <v>44371</v>
      </c>
      <c r="R61" s="80">
        <f t="shared" si="13"/>
        <v>44371</v>
      </c>
      <c r="S61" s="81">
        <f t="shared" si="14"/>
        <v>25</v>
      </c>
      <c r="T61" s="82">
        <f>'KW 25'!$J$33</f>
        <v>0</v>
      </c>
    </row>
    <row r="62" spans="1:20" ht="15" thickBot="1" x14ac:dyDescent="0.35">
      <c r="A62" s="79">
        <f t="shared" si="15"/>
        <v>44311</v>
      </c>
      <c r="B62" s="80">
        <f t="shared" si="9"/>
        <v>44311</v>
      </c>
      <c r="C62" s="81">
        <f t="shared" si="10"/>
        <v>16</v>
      </c>
      <c r="D62" s="87">
        <f>'KW 16'!$P$33</f>
        <v>0</v>
      </c>
      <c r="I62" s="79">
        <f t="shared" si="16"/>
        <v>44341</v>
      </c>
      <c r="J62" s="80">
        <f t="shared" si="11"/>
        <v>44341</v>
      </c>
      <c r="K62" s="81">
        <f t="shared" si="12"/>
        <v>21</v>
      </c>
      <c r="L62" s="82">
        <f>'KW 21'!$F$33</f>
        <v>0</v>
      </c>
      <c r="Q62" s="79">
        <f t="shared" si="17"/>
        <v>44372</v>
      </c>
      <c r="R62" s="80">
        <f t="shared" si="13"/>
        <v>44372</v>
      </c>
      <c r="S62" s="81">
        <f t="shared" si="14"/>
        <v>25</v>
      </c>
      <c r="T62" s="82">
        <f>'KW 25'!$L$33</f>
        <v>0</v>
      </c>
    </row>
    <row r="63" spans="1:20" ht="15" thickTop="1" x14ac:dyDescent="0.3">
      <c r="A63" s="79">
        <f t="shared" si="15"/>
        <v>44312</v>
      </c>
      <c r="B63" s="80">
        <f t="shared" si="9"/>
        <v>44312</v>
      </c>
      <c r="C63" s="81">
        <f t="shared" si="10"/>
        <v>17</v>
      </c>
      <c r="D63" s="82">
        <f>'KW 17'!$D$33</f>
        <v>0</v>
      </c>
      <c r="I63" s="79">
        <f t="shared" si="16"/>
        <v>44342</v>
      </c>
      <c r="J63" s="80">
        <f t="shared" si="11"/>
        <v>44342</v>
      </c>
      <c r="K63" s="81">
        <f t="shared" si="12"/>
        <v>21</v>
      </c>
      <c r="L63" s="82">
        <f>'KW 21'!$H$33</f>
        <v>0</v>
      </c>
      <c r="Q63" s="79">
        <f t="shared" si="17"/>
        <v>44373</v>
      </c>
      <c r="R63" s="80">
        <f t="shared" si="13"/>
        <v>44373</v>
      </c>
      <c r="S63" s="81">
        <f t="shared" si="14"/>
        <v>25</v>
      </c>
      <c r="T63" s="82">
        <f>'KW 25'!$N$33</f>
        <v>0</v>
      </c>
    </row>
    <row r="64" spans="1:20" x14ac:dyDescent="0.3">
      <c r="A64" s="79">
        <f t="shared" si="15"/>
        <v>44313</v>
      </c>
      <c r="B64" s="80">
        <f t="shared" si="9"/>
        <v>44313</v>
      </c>
      <c r="C64" s="81">
        <f t="shared" si="10"/>
        <v>17</v>
      </c>
      <c r="D64" s="82">
        <f>'KW 17'!$F$33</f>
        <v>0</v>
      </c>
      <c r="I64" s="79">
        <f t="shared" si="16"/>
        <v>44343</v>
      </c>
      <c r="J64" s="80">
        <f t="shared" si="11"/>
        <v>44343</v>
      </c>
      <c r="K64" s="81">
        <f t="shared" si="12"/>
        <v>21</v>
      </c>
      <c r="L64" s="82">
        <f>'KW 21'!$J$33</f>
        <v>0</v>
      </c>
      <c r="Q64" s="79">
        <f t="shared" si="17"/>
        <v>44374</v>
      </c>
      <c r="R64" s="80">
        <f t="shared" si="13"/>
        <v>44374</v>
      </c>
      <c r="S64" s="81">
        <f t="shared" si="14"/>
        <v>25</v>
      </c>
      <c r="T64" s="82">
        <f>'KW 25'!$P$33</f>
        <v>0</v>
      </c>
    </row>
    <row r="65" spans="1:23" x14ac:dyDescent="0.3">
      <c r="A65" s="79">
        <f t="shared" si="15"/>
        <v>44314</v>
      </c>
      <c r="B65" s="80">
        <f t="shared" si="9"/>
        <v>44314</v>
      </c>
      <c r="C65" s="81">
        <f t="shared" si="10"/>
        <v>17</v>
      </c>
      <c r="D65" s="82">
        <f>'KW 17'!$H$33</f>
        <v>0</v>
      </c>
      <c r="I65" s="79">
        <f t="shared" si="16"/>
        <v>44344</v>
      </c>
      <c r="J65" s="80">
        <f t="shared" si="11"/>
        <v>44344</v>
      </c>
      <c r="K65" s="81">
        <f t="shared" si="12"/>
        <v>21</v>
      </c>
      <c r="L65" s="82">
        <f>'KW 21'!$L$33</f>
        <v>0</v>
      </c>
      <c r="Q65" s="79">
        <f t="shared" si="17"/>
        <v>44375</v>
      </c>
      <c r="R65" s="80">
        <f t="shared" si="13"/>
        <v>44375</v>
      </c>
      <c r="S65" s="81">
        <f t="shared" si="14"/>
        <v>26</v>
      </c>
      <c r="T65" s="94">
        <f>'KW 26'!$D$33</f>
        <v>0</v>
      </c>
    </row>
    <row r="66" spans="1:23" x14ac:dyDescent="0.3">
      <c r="A66" s="79">
        <f t="shared" si="15"/>
        <v>44315</v>
      </c>
      <c r="B66" s="80">
        <f t="shared" si="9"/>
        <v>44315</v>
      </c>
      <c r="C66" s="81">
        <f t="shared" si="10"/>
        <v>17</v>
      </c>
      <c r="D66" s="82">
        <f>'KW 17'!$J$33</f>
        <v>0</v>
      </c>
      <c r="I66" s="79">
        <f t="shared" si="16"/>
        <v>44345</v>
      </c>
      <c r="J66" s="80">
        <f t="shared" si="11"/>
        <v>44345</v>
      </c>
      <c r="K66" s="81">
        <f t="shared" si="12"/>
        <v>21</v>
      </c>
      <c r="L66" s="82">
        <f>'KW 21'!$N$33</f>
        <v>0</v>
      </c>
      <c r="Q66" s="79">
        <f t="shared" si="17"/>
        <v>44376</v>
      </c>
      <c r="R66" s="80">
        <f t="shared" si="13"/>
        <v>44376</v>
      </c>
      <c r="S66" s="81">
        <f t="shared" si="14"/>
        <v>26</v>
      </c>
      <c r="T66" s="82">
        <f>'KW 26'!$F$33</f>
        <v>0</v>
      </c>
    </row>
    <row r="67" spans="1:23" x14ac:dyDescent="0.3">
      <c r="A67" s="79">
        <f t="shared" si="15"/>
        <v>44316</v>
      </c>
      <c r="B67" s="80">
        <f t="shared" si="9"/>
        <v>44316</v>
      </c>
      <c r="C67" s="81">
        <f t="shared" si="10"/>
        <v>17</v>
      </c>
      <c r="D67" s="82">
        <f>'KW 17'!$L$33</f>
        <v>0</v>
      </c>
      <c r="I67" s="79">
        <f t="shared" si="16"/>
        <v>44346</v>
      </c>
      <c r="J67" s="80">
        <f t="shared" si="11"/>
        <v>44346</v>
      </c>
      <c r="K67" s="81">
        <f t="shared" si="12"/>
        <v>21</v>
      </c>
      <c r="L67" s="82">
        <f>'KW 21'!$P$33</f>
        <v>0</v>
      </c>
      <c r="Q67" s="79">
        <f t="shared" si="17"/>
        <v>44377</v>
      </c>
      <c r="R67" s="80">
        <f t="shared" si="13"/>
        <v>44377</v>
      </c>
      <c r="S67" s="81">
        <f t="shared" si="14"/>
        <v>26</v>
      </c>
      <c r="T67" s="82">
        <f>'KW 26'!$H$33</f>
        <v>0</v>
      </c>
    </row>
    <row r="68" spans="1:23" ht="15" thickBot="1" x14ac:dyDescent="0.35">
      <c r="A68" s="84" t="str">
        <f t="shared" si="15"/>
        <v/>
      </c>
      <c r="B68" s="85" t="str">
        <f t="shared" si="9"/>
        <v/>
      </c>
      <c r="C68" s="86" t="str">
        <f t="shared" si="10"/>
        <v/>
      </c>
      <c r="D68" s="87" t="str">
        <f>IF(A68="","",'KW 17'!$P$33)</f>
        <v/>
      </c>
      <c r="I68" s="84">
        <f t="shared" si="16"/>
        <v>44347</v>
      </c>
      <c r="J68" s="85">
        <f t="shared" si="11"/>
        <v>44347</v>
      </c>
      <c r="K68" s="86">
        <f t="shared" si="12"/>
        <v>22</v>
      </c>
      <c r="L68" s="95">
        <f>'KW 22'!$D$33</f>
        <v>0</v>
      </c>
      <c r="Q68" s="84" t="str">
        <f t="shared" si="17"/>
        <v/>
      </c>
      <c r="R68" s="85" t="str">
        <f t="shared" si="13"/>
        <v/>
      </c>
      <c r="S68" s="86" t="str">
        <f t="shared" si="14"/>
        <v/>
      </c>
      <c r="T68" s="87" t="str">
        <f>IF(Q68="","",'KW 26'!$J$33)</f>
        <v/>
      </c>
    </row>
    <row r="69" spans="1:23" ht="15" thickTop="1" x14ac:dyDescent="0.3">
      <c r="C69" s="1" t="s">
        <v>65</v>
      </c>
      <c r="D69" s="59">
        <f>SUM(D38:D68)</f>
        <v>0</v>
      </c>
      <c r="K69" s="1" t="s">
        <v>66</v>
      </c>
      <c r="L69" s="59">
        <f>SUM(L38:L68)</f>
        <v>0</v>
      </c>
      <c r="S69" s="1" t="s">
        <v>67</v>
      </c>
      <c r="T69" s="59">
        <f>SUM(T38:T68)</f>
        <v>0</v>
      </c>
    </row>
    <row r="71" spans="1:23" ht="15" thickBot="1" x14ac:dyDescent="0.35">
      <c r="A71" s="75" t="s">
        <v>68</v>
      </c>
      <c r="B71" s="75">
        <f>Start!$B$1</f>
        <v>2021</v>
      </c>
      <c r="C71" s="7"/>
      <c r="D71" s="75"/>
      <c r="I71" s="75" t="s">
        <v>69</v>
      </c>
      <c r="J71" s="75">
        <f>Start!$B$1</f>
        <v>2021</v>
      </c>
      <c r="K71" s="7"/>
      <c r="L71" s="75"/>
      <c r="Q71" s="75" t="s">
        <v>70</v>
      </c>
      <c r="R71" s="75">
        <f>Start!$B$1</f>
        <v>2021</v>
      </c>
      <c r="S71" s="7"/>
      <c r="T71" s="75"/>
    </row>
    <row r="72" spans="1:23" ht="15" thickBot="1" x14ac:dyDescent="0.35">
      <c r="A72" s="96" t="s">
        <v>40</v>
      </c>
      <c r="B72" s="97" t="s">
        <v>48</v>
      </c>
      <c r="C72" s="97" t="s">
        <v>49</v>
      </c>
      <c r="D72" s="98" t="s">
        <v>50</v>
      </c>
      <c r="F72" s="76" t="s">
        <v>101</v>
      </c>
      <c r="G72" s="88">
        <f>SUMIF($C$73:$C$103,"26",$D$73:$D$103)</f>
        <v>0</v>
      </c>
      <c r="I72" s="76" t="s">
        <v>40</v>
      </c>
      <c r="J72" s="77" t="s">
        <v>48</v>
      </c>
      <c r="K72" s="77" t="s">
        <v>49</v>
      </c>
      <c r="L72" s="78" t="s">
        <v>50</v>
      </c>
      <c r="N72" s="76" t="s">
        <v>105</v>
      </c>
      <c r="O72" s="88">
        <f>SUMIF($K$73:$K$103,"30",$L$73:$L$103)</f>
        <v>0</v>
      </c>
      <c r="Q72" s="76" t="s">
        <v>40</v>
      </c>
      <c r="R72" s="77" t="s">
        <v>48</v>
      </c>
      <c r="S72" s="77" t="s">
        <v>49</v>
      </c>
      <c r="T72" s="78" t="s">
        <v>50</v>
      </c>
      <c r="V72" s="110" t="s">
        <v>113</v>
      </c>
      <c r="W72" s="113">
        <f>SUMIF($S$73:$S$103,"35",$T$73:$T$103)</f>
        <v>0</v>
      </c>
    </row>
    <row r="73" spans="1:23" x14ac:dyDescent="0.3">
      <c r="A73" s="99">
        <f>DATE(B71,7,1)</f>
        <v>44378</v>
      </c>
      <c r="B73" s="100">
        <f>A73</f>
        <v>44378</v>
      </c>
      <c r="C73" s="101">
        <f>IF(A73="","",WEEKNUM(A73,21))</f>
        <v>26</v>
      </c>
      <c r="D73" s="88">
        <f>'KW 26'!$J$33</f>
        <v>0</v>
      </c>
      <c r="F73" s="89" t="s">
        <v>102</v>
      </c>
      <c r="G73" s="82">
        <f>SUMIF($C$73:$C$103,"27",$D$73:$D$103)</f>
        <v>0</v>
      </c>
      <c r="I73" s="79">
        <f>DATE(J71,8,1)</f>
        <v>44409</v>
      </c>
      <c r="J73" s="80">
        <f>I73</f>
        <v>44409</v>
      </c>
      <c r="K73" s="81">
        <f>IF(I73="","",WEEKNUM(I73,21))</f>
        <v>30</v>
      </c>
      <c r="L73" s="82">
        <f>'KW 30'!$D$33</f>
        <v>0</v>
      </c>
      <c r="N73" s="89" t="s">
        <v>106</v>
      </c>
      <c r="O73" s="82">
        <f>SUMIF($K$73:$K$103,"31",$L$73:$L$103)</f>
        <v>0</v>
      </c>
      <c r="Q73" s="79">
        <f>DATE(R71,9,1)</f>
        <v>44440</v>
      </c>
      <c r="R73" s="80">
        <f>Q73</f>
        <v>44440</v>
      </c>
      <c r="S73" s="81">
        <f>IF(Q73="","",WEEKNUM(Q73,21))</f>
        <v>35</v>
      </c>
      <c r="T73" s="82">
        <f>'KW 35'!$J$33</f>
        <v>0</v>
      </c>
      <c r="V73" s="111" t="s">
        <v>114</v>
      </c>
      <c r="W73" s="114">
        <f>SUMIF($S$73:$S$103,"36",$T$73:$T$103)</f>
        <v>0</v>
      </c>
    </row>
    <row r="74" spans="1:23" x14ac:dyDescent="0.3">
      <c r="A74" s="79">
        <f>IFERROR(IF(MONTH(A73+1)=MONTH(A$73),A73+1,""),"")</f>
        <v>44379</v>
      </c>
      <c r="B74" s="80">
        <f t="shared" ref="B74:B103" si="18">A74</f>
        <v>44379</v>
      </c>
      <c r="C74" s="81">
        <f t="shared" ref="C74:C103" si="19">IF(A74="","",WEEKNUM(A74,21))</f>
        <v>26</v>
      </c>
      <c r="D74" s="82">
        <f>'KW 26'!$L$33</f>
        <v>0</v>
      </c>
      <c r="F74" s="89" t="s">
        <v>103</v>
      </c>
      <c r="G74" s="82">
        <f>SUMIF($C$73:$C$103,"28",$D$73:$D$103)</f>
        <v>0</v>
      </c>
      <c r="I74" s="79">
        <f>IFERROR(IF(MONTH(I73+1)=MONTH(I$73),I73+1,""),"")</f>
        <v>44410</v>
      </c>
      <c r="J74" s="80">
        <f t="shared" ref="J74:J103" si="20">I74</f>
        <v>44410</v>
      </c>
      <c r="K74" s="81">
        <f t="shared" ref="K74:K103" si="21">IF(I74="","",WEEKNUM(I74,21))</f>
        <v>31</v>
      </c>
      <c r="L74" s="82">
        <f>'KW 31'!$F$33</f>
        <v>0</v>
      </c>
      <c r="N74" s="89" t="s">
        <v>110</v>
      </c>
      <c r="O74" s="82">
        <f>SUMIF($K$73:$K$103,"32",$L$73:$L$103)</f>
        <v>0</v>
      </c>
      <c r="Q74" s="79">
        <f>IFERROR(IF(MONTH(Q73+1)=MONTH(Q$73),Q73+1,""),"")</f>
        <v>44441</v>
      </c>
      <c r="R74" s="80">
        <f t="shared" ref="R74:R103" si="22">Q74</f>
        <v>44441</v>
      </c>
      <c r="S74" s="81">
        <f t="shared" ref="S74:S103" si="23">IF(Q74="","",WEEKNUM(Q74,21))</f>
        <v>35</v>
      </c>
      <c r="T74" s="82">
        <f>'KW 35'!$L$33</f>
        <v>0</v>
      </c>
      <c r="V74" s="111" t="s">
        <v>115</v>
      </c>
      <c r="W74" s="114">
        <f>SUMIF($S$73:$S$103,"37",$T$73:$T$103)</f>
        <v>0</v>
      </c>
    </row>
    <row r="75" spans="1:23" x14ac:dyDescent="0.3">
      <c r="A75" s="79">
        <f t="shared" ref="A75:A103" si="24">IFERROR(IF(MONTH(A74+1)=MONTH(A$73),A74+1,""),"")</f>
        <v>44380</v>
      </c>
      <c r="B75" s="80">
        <f t="shared" si="18"/>
        <v>44380</v>
      </c>
      <c r="C75" s="81">
        <f t="shared" si="19"/>
        <v>26</v>
      </c>
      <c r="D75" s="82">
        <f>'KW 26'!$N$33</f>
        <v>0</v>
      </c>
      <c r="F75" s="89" t="s">
        <v>104</v>
      </c>
      <c r="G75" s="82">
        <f>SUMIF($C$73:$C$103,"29",$D$73:$D$103)</f>
        <v>0</v>
      </c>
      <c r="I75" s="79">
        <f t="shared" ref="I75:I103" si="25">IFERROR(IF(MONTH(I74+1)=MONTH(I$73),I74+1,""),"")</f>
        <v>44411</v>
      </c>
      <c r="J75" s="80">
        <f t="shared" si="20"/>
        <v>44411</v>
      </c>
      <c r="K75" s="81">
        <f t="shared" si="21"/>
        <v>31</v>
      </c>
      <c r="L75" s="82">
        <f>'KW 31'!$H$33</f>
        <v>0</v>
      </c>
      <c r="N75" s="89" t="s">
        <v>111</v>
      </c>
      <c r="O75" s="82">
        <f>SUMIF($K$73:$K$103,"33",$L$73:$L$103)</f>
        <v>0</v>
      </c>
      <c r="Q75" s="79">
        <f t="shared" ref="Q75:Q103" si="26">IFERROR(IF(MONTH(Q74+1)=MONTH(Q$73),Q74+1,""),"")</f>
        <v>44442</v>
      </c>
      <c r="R75" s="80">
        <f t="shared" si="22"/>
        <v>44442</v>
      </c>
      <c r="S75" s="81">
        <f t="shared" si="23"/>
        <v>35</v>
      </c>
      <c r="T75" s="82">
        <f>'KW 35'!$N$33</f>
        <v>0</v>
      </c>
      <c r="V75" s="111" t="s">
        <v>116</v>
      </c>
      <c r="W75" s="114">
        <f>SUMIF($S$73:$S$103,"38",$T$73:$T$103)</f>
        <v>0</v>
      </c>
    </row>
    <row r="76" spans="1:23" x14ac:dyDescent="0.3">
      <c r="A76" s="79">
        <f t="shared" si="24"/>
        <v>44381</v>
      </c>
      <c r="B76" s="80">
        <f t="shared" si="18"/>
        <v>44381</v>
      </c>
      <c r="C76" s="81">
        <f t="shared" si="19"/>
        <v>26</v>
      </c>
      <c r="D76" s="82">
        <f>'KW 26'!$P$33</f>
        <v>0</v>
      </c>
      <c r="F76" s="89" t="s">
        <v>105</v>
      </c>
      <c r="G76" s="82">
        <f>SUMIF($C$73:$C$103,"30",$D$73:$D$103)</f>
        <v>0</v>
      </c>
      <c r="I76" s="79">
        <f t="shared" si="25"/>
        <v>44412</v>
      </c>
      <c r="J76" s="80">
        <f t="shared" si="20"/>
        <v>44412</v>
      </c>
      <c r="K76" s="81">
        <f t="shared" si="21"/>
        <v>31</v>
      </c>
      <c r="L76" s="82">
        <f>'KW 31'!$J$33</f>
        <v>0</v>
      </c>
      <c r="N76" s="89" t="s">
        <v>112</v>
      </c>
      <c r="O76" s="82">
        <f>SUMIF($K$73:$K$103,"34",$L$73:$L$103)</f>
        <v>0</v>
      </c>
      <c r="Q76" s="79">
        <f t="shared" si="26"/>
        <v>44443</v>
      </c>
      <c r="R76" s="80">
        <f t="shared" si="22"/>
        <v>44443</v>
      </c>
      <c r="S76" s="81">
        <f t="shared" si="23"/>
        <v>35</v>
      </c>
      <c r="T76" s="82">
        <f>'KW 35'!$P$33</f>
        <v>0</v>
      </c>
      <c r="V76" s="111" t="s">
        <v>117</v>
      </c>
      <c r="W76" s="114">
        <f>SUMIF($S$73:$S$103,"39",$T$73:$T$103)</f>
        <v>0</v>
      </c>
    </row>
    <row r="77" spans="1:23" ht="15" thickBot="1" x14ac:dyDescent="0.35">
      <c r="A77" s="79">
        <f t="shared" si="24"/>
        <v>44382</v>
      </c>
      <c r="B77" s="80">
        <f t="shared" si="18"/>
        <v>44382</v>
      </c>
      <c r="C77" s="81">
        <f t="shared" si="19"/>
        <v>27</v>
      </c>
      <c r="D77" s="82">
        <f>'KW 27'!$D$33</f>
        <v>0</v>
      </c>
      <c r="F77" s="90" t="s">
        <v>106</v>
      </c>
      <c r="G77" s="82">
        <f>SUMIF($C$73:$C$103,"31",$D$73:$D$103)</f>
        <v>0</v>
      </c>
      <c r="I77" s="79">
        <f t="shared" si="25"/>
        <v>44413</v>
      </c>
      <c r="J77" s="80">
        <f t="shared" si="20"/>
        <v>44413</v>
      </c>
      <c r="K77" s="81">
        <f t="shared" si="21"/>
        <v>31</v>
      </c>
      <c r="L77" s="82">
        <f>'KW 31'!$L$33</f>
        <v>0</v>
      </c>
      <c r="N77" s="90" t="s">
        <v>113</v>
      </c>
      <c r="O77" s="82">
        <f>SUMIF($K$73:$K$103,"35",$L$73:$L$103)</f>
        <v>0</v>
      </c>
      <c r="Q77" s="79">
        <f t="shared" si="26"/>
        <v>44444</v>
      </c>
      <c r="R77" s="80">
        <f t="shared" si="22"/>
        <v>44444</v>
      </c>
      <c r="S77" s="81">
        <f t="shared" si="23"/>
        <v>35</v>
      </c>
      <c r="T77" s="82">
        <f>'KW 35'!$D$33</f>
        <v>0</v>
      </c>
      <c r="V77" s="112" t="s">
        <v>118</v>
      </c>
      <c r="W77" s="115">
        <f>SUMIF($S$73:$S$103,"40",$T$73:$T$103)</f>
        <v>0</v>
      </c>
    </row>
    <row r="78" spans="1:23" x14ac:dyDescent="0.3">
      <c r="A78" s="79">
        <f t="shared" si="24"/>
        <v>44383</v>
      </c>
      <c r="B78" s="80">
        <f t="shared" si="18"/>
        <v>44383</v>
      </c>
      <c r="C78" s="81">
        <f t="shared" si="19"/>
        <v>27</v>
      </c>
      <c r="D78" s="82">
        <f>'KW 27'!$F$33</f>
        <v>0</v>
      </c>
      <c r="I78" s="79">
        <f t="shared" si="25"/>
        <v>44414</v>
      </c>
      <c r="J78" s="80">
        <f t="shared" si="20"/>
        <v>44414</v>
      </c>
      <c r="K78" s="81">
        <f t="shared" si="21"/>
        <v>31</v>
      </c>
      <c r="L78" s="82">
        <f>'KW 31'!$N$33</f>
        <v>0</v>
      </c>
      <c r="Q78" s="79">
        <f t="shared" si="26"/>
        <v>44445</v>
      </c>
      <c r="R78" s="80">
        <f t="shared" si="22"/>
        <v>44445</v>
      </c>
      <c r="S78" s="81">
        <f t="shared" si="23"/>
        <v>36</v>
      </c>
      <c r="T78" s="82">
        <f>'KW 36'!$F$33</f>
        <v>0</v>
      </c>
    </row>
    <row r="79" spans="1:23" x14ac:dyDescent="0.3">
      <c r="A79" s="79">
        <f t="shared" si="24"/>
        <v>44384</v>
      </c>
      <c r="B79" s="80">
        <f t="shared" si="18"/>
        <v>44384</v>
      </c>
      <c r="C79" s="81">
        <f t="shared" si="19"/>
        <v>27</v>
      </c>
      <c r="D79" s="82">
        <f>'KW 27'!$H$33</f>
        <v>0</v>
      </c>
      <c r="F79" s="7" t="s">
        <v>0</v>
      </c>
      <c r="G79" s="93">
        <f>SUM(G72:G77)</f>
        <v>0</v>
      </c>
      <c r="I79" s="79">
        <f t="shared" si="25"/>
        <v>44415</v>
      </c>
      <c r="J79" s="80">
        <f t="shared" si="20"/>
        <v>44415</v>
      </c>
      <c r="K79" s="81">
        <f t="shared" si="21"/>
        <v>31</v>
      </c>
      <c r="L79" s="82">
        <f>'KW 31'!$P$33</f>
        <v>0</v>
      </c>
      <c r="N79" s="7" t="s">
        <v>0</v>
      </c>
      <c r="O79" s="93">
        <f>SUM(O72:O77)</f>
        <v>0</v>
      </c>
      <c r="Q79" s="79">
        <f t="shared" si="26"/>
        <v>44446</v>
      </c>
      <c r="R79" s="80">
        <f t="shared" si="22"/>
        <v>44446</v>
      </c>
      <c r="S79" s="81">
        <f t="shared" si="23"/>
        <v>36</v>
      </c>
      <c r="T79" s="82">
        <f>'KW 36'!$H$33</f>
        <v>0</v>
      </c>
      <c r="V79" s="7" t="s">
        <v>0</v>
      </c>
      <c r="W79" s="93">
        <f>SUM(W72:W77)</f>
        <v>0</v>
      </c>
    </row>
    <row r="80" spans="1:23" x14ac:dyDescent="0.3">
      <c r="A80" s="79">
        <f t="shared" si="24"/>
        <v>44385</v>
      </c>
      <c r="B80" s="80">
        <f t="shared" si="18"/>
        <v>44385</v>
      </c>
      <c r="C80" s="81">
        <f t="shared" si="19"/>
        <v>27</v>
      </c>
      <c r="D80" s="82">
        <f>'KW 27'!$J$33</f>
        <v>0</v>
      </c>
      <c r="I80" s="79">
        <f t="shared" si="25"/>
        <v>44416</v>
      </c>
      <c r="J80" s="80">
        <f t="shared" si="20"/>
        <v>44416</v>
      </c>
      <c r="K80" s="81">
        <f t="shared" si="21"/>
        <v>31</v>
      </c>
      <c r="L80" s="82">
        <f>'KW 31'!$D$33</f>
        <v>0</v>
      </c>
      <c r="Q80" s="79">
        <f t="shared" si="26"/>
        <v>44447</v>
      </c>
      <c r="R80" s="80">
        <f t="shared" si="22"/>
        <v>44447</v>
      </c>
      <c r="S80" s="81">
        <f t="shared" si="23"/>
        <v>36</v>
      </c>
      <c r="T80" s="82">
        <f>'KW 36'!$J$33</f>
        <v>0</v>
      </c>
    </row>
    <row r="81" spans="1:20" x14ac:dyDescent="0.3">
      <c r="A81" s="79">
        <f t="shared" si="24"/>
        <v>44386</v>
      </c>
      <c r="B81" s="80">
        <f t="shared" si="18"/>
        <v>44386</v>
      </c>
      <c r="C81" s="81">
        <f t="shared" si="19"/>
        <v>27</v>
      </c>
      <c r="D81" s="82">
        <f>'KW 27'!$L$33</f>
        <v>0</v>
      </c>
      <c r="I81" s="79">
        <f t="shared" si="25"/>
        <v>44417</v>
      </c>
      <c r="J81" s="80">
        <f t="shared" si="20"/>
        <v>44417</v>
      </c>
      <c r="K81" s="81">
        <f t="shared" si="21"/>
        <v>32</v>
      </c>
      <c r="L81" s="82">
        <f>'KW 32'!$F$33</f>
        <v>0</v>
      </c>
      <c r="Q81" s="79">
        <f t="shared" si="26"/>
        <v>44448</v>
      </c>
      <c r="R81" s="80">
        <f t="shared" si="22"/>
        <v>44448</v>
      </c>
      <c r="S81" s="81">
        <f t="shared" si="23"/>
        <v>36</v>
      </c>
      <c r="T81" s="82">
        <f>'KW 36'!$L$33</f>
        <v>0</v>
      </c>
    </row>
    <row r="82" spans="1:20" x14ac:dyDescent="0.3">
      <c r="A82" s="79">
        <f t="shared" si="24"/>
        <v>44387</v>
      </c>
      <c r="B82" s="80">
        <f t="shared" si="18"/>
        <v>44387</v>
      </c>
      <c r="C82" s="81">
        <f t="shared" si="19"/>
        <v>27</v>
      </c>
      <c r="D82" s="82">
        <f>'KW 27'!$N$33</f>
        <v>0</v>
      </c>
      <c r="I82" s="79">
        <f t="shared" si="25"/>
        <v>44418</v>
      </c>
      <c r="J82" s="80">
        <f t="shared" si="20"/>
        <v>44418</v>
      </c>
      <c r="K82" s="81">
        <f t="shared" si="21"/>
        <v>32</v>
      </c>
      <c r="L82" s="82">
        <f>'KW 32'!$H$33</f>
        <v>0</v>
      </c>
      <c r="Q82" s="79">
        <f t="shared" si="26"/>
        <v>44449</v>
      </c>
      <c r="R82" s="80">
        <f t="shared" si="22"/>
        <v>44449</v>
      </c>
      <c r="S82" s="81">
        <f t="shared" si="23"/>
        <v>36</v>
      </c>
      <c r="T82" s="82">
        <f>'KW 36'!$N$33</f>
        <v>0</v>
      </c>
    </row>
    <row r="83" spans="1:20" x14ac:dyDescent="0.3">
      <c r="A83" s="79">
        <f t="shared" si="24"/>
        <v>44388</v>
      </c>
      <c r="B83" s="80">
        <f t="shared" si="18"/>
        <v>44388</v>
      </c>
      <c r="C83" s="81">
        <f t="shared" si="19"/>
        <v>27</v>
      </c>
      <c r="D83" s="82">
        <f>'KW 27'!$P$33</f>
        <v>0</v>
      </c>
      <c r="I83" s="79">
        <f t="shared" si="25"/>
        <v>44419</v>
      </c>
      <c r="J83" s="80">
        <f t="shared" si="20"/>
        <v>44419</v>
      </c>
      <c r="K83" s="81">
        <f t="shared" si="21"/>
        <v>32</v>
      </c>
      <c r="L83" s="82">
        <f>'KW 32'!$J$33</f>
        <v>0</v>
      </c>
      <c r="Q83" s="79">
        <f t="shared" si="26"/>
        <v>44450</v>
      </c>
      <c r="R83" s="80">
        <f t="shared" si="22"/>
        <v>44450</v>
      </c>
      <c r="S83" s="81">
        <f t="shared" si="23"/>
        <v>36</v>
      </c>
      <c r="T83" s="82">
        <f>'KW 36'!$P$33</f>
        <v>0</v>
      </c>
    </row>
    <row r="84" spans="1:20" x14ac:dyDescent="0.3">
      <c r="A84" s="79">
        <f t="shared" si="24"/>
        <v>44389</v>
      </c>
      <c r="B84" s="80">
        <f t="shared" si="18"/>
        <v>44389</v>
      </c>
      <c r="C84" s="81">
        <f t="shared" si="19"/>
        <v>28</v>
      </c>
      <c r="D84" s="82">
        <f>'KW 28'!$D$33</f>
        <v>0</v>
      </c>
      <c r="I84" s="79">
        <f t="shared" si="25"/>
        <v>44420</v>
      </c>
      <c r="J84" s="80">
        <f t="shared" si="20"/>
        <v>44420</v>
      </c>
      <c r="K84" s="81">
        <f t="shared" si="21"/>
        <v>32</v>
      </c>
      <c r="L84" s="82">
        <f>'KW 32'!$L$33</f>
        <v>0</v>
      </c>
      <c r="Q84" s="79">
        <f t="shared" si="26"/>
        <v>44451</v>
      </c>
      <c r="R84" s="80">
        <f t="shared" si="22"/>
        <v>44451</v>
      </c>
      <c r="S84" s="81">
        <f t="shared" si="23"/>
        <v>36</v>
      </c>
      <c r="T84" s="82">
        <f>'KW 36'!$D$33</f>
        <v>0</v>
      </c>
    </row>
    <row r="85" spans="1:20" x14ac:dyDescent="0.3">
      <c r="A85" s="79">
        <f t="shared" si="24"/>
        <v>44390</v>
      </c>
      <c r="B85" s="80">
        <f t="shared" si="18"/>
        <v>44390</v>
      </c>
      <c r="C85" s="81">
        <f t="shared" si="19"/>
        <v>28</v>
      </c>
      <c r="D85" s="82">
        <f>'KW 28'!$F$33</f>
        <v>0</v>
      </c>
      <c r="I85" s="79">
        <f t="shared" si="25"/>
        <v>44421</v>
      </c>
      <c r="J85" s="80">
        <f t="shared" si="20"/>
        <v>44421</v>
      </c>
      <c r="K85" s="81">
        <f t="shared" si="21"/>
        <v>32</v>
      </c>
      <c r="L85" s="82">
        <f>'KW 32'!$N$33</f>
        <v>0</v>
      </c>
      <c r="Q85" s="79">
        <f t="shared" si="26"/>
        <v>44452</v>
      </c>
      <c r="R85" s="80">
        <f t="shared" si="22"/>
        <v>44452</v>
      </c>
      <c r="S85" s="81">
        <f t="shared" si="23"/>
        <v>37</v>
      </c>
      <c r="T85" s="82">
        <f>'KW 37'!$F$33</f>
        <v>0</v>
      </c>
    </row>
    <row r="86" spans="1:20" x14ac:dyDescent="0.3">
      <c r="A86" s="79">
        <f t="shared" si="24"/>
        <v>44391</v>
      </c>
      <c r="B86" s="80">
        <f t="shared" si="18"/>
        <v>44391</v>
      </c>
      <c r="C86" s="81">
        <f t="shared" si="19"/>
        <v>28</v>
      </c>
      <c r="D86" s="82">
        <f>'KW 28'!$H$33</f>
        <v>0</v>
      </c>
      <c r="I86" s="79">
        <f t="shared" si="25"/>
        <v>44422</v>
      </c>
      <c r="J86" s="80">
        <f t="shared" si="20"/>
        <v>44422</v>
      </c>
      <c r="K86" s="81">
        <f t="shared" si="21"/>
        <v>32</v>
      </c>
      <c r="L86" s="82">
        <f>'KW 32'!$P$33</f>
        <v>0</v>
      </c>
      <c r="Q86" s="79">
        <f t="shared" si="26"/>
        <v>44453</v>
      </c>
      <c r="R86" s="80">
        <f t="shared" si="22"/>
        <v>44453</v>
      </c>
      <c r="S86" s="81">
        <f t="shared" si="23"/>
        <v>37</v>
      </c>
      <c r="T86" s="82">
        <f>'KW 37'!$H$33</f>
        <v>0</v>
      </c>
    </row>
    <row r="87" spans="1:20" x14ac:dyDescent="0.3">
      <c r="A87" s="79">
        <f t="shared" si="24"/>
        <v>44392</v>
      </c>
      <c r="B87" s="80">
        <f t="shared" si="18"/>
        <v>44392</v>
      </c>
      <c r="C87" s="81">
        <f t="shared" si="19"/>
        <v>28</v>
      </c>
      <c r="D87" s="82">
        <f>'KW 28'!$J$33</f>
        <v>0</v>
      </c>
      <c r="I87" s="79">
        <f t="shared" si="25"/>
        <v>44423</v>
      </c>
      <c r="J87" s="80">
        <f t="shared" si="20"/>
        <v>44423</v>
      </c>
      <c r="K87" s="81">
        <f t="shared" si="21"/>
        <v>32</v>
      </c>
      <c r="L87" s="82">
        <f>'KW 32'!$D$33</f>
        <v>0</v>
      </c>
      <c r="Q87" s="79">
        <f t="shared" si="26"/>
        <v>44454</v>
      </c>
      <c r="R87" s="80">
        <f t="shared" si="22"/>
        <v>44454</v>
      </c>
      <c r="S87" s="81">
        <f t="shared" si="23"/>
        <v>37</v>
      </c>
      <c r="T87" s="82">
        <f>'KW 37'!$J$33</f>
        <v>0</v>
      </c>
    </row>
    <row r="88" spans="1:20" x14ac:dyDescent="0.3">
      <c r="A88" s="79">
        <f t="shared" si="24"/>
        <v>44393</v>
      </c>
      <c r="B88" s="80">
        <f t="shared" si="18"/>
        <v>44393</v>
      </c>
      <c r="C88" s="81">
        <f t="shared" si="19"/>
        <v>28</v>
      </c>
      <c r="D88" s="82">
        <f>'KW 28'!$L$33</f>
        <v>0</v>
      </c>
      <c r="I88" s="79">
        <f t="shared" si="25"/>
        <v>44424</v>
      </c>
      <c r="J88" s="80">
        <f t="shared" si="20"/>
        <v>44424</v>
      </c>
      <c r="K88" s="81">
        <f t="shared" si="21"/>
        <v>33</v>
      </c>
      <c r="L88" s="82">
        <f>'KW 33'!$F$33</f>
        <v>0</v>
      </c>
      <c r="Q88" s="79">
        <f t="shared" si="26"/>
        <v>44455</v>
      </c>
      <c r="R88" s="80">
        <f t="shared" si="22"/>
        <v>44455</v>
      </c>
      <c r="S88" s="81">
        <f t="shared" si="23"/>
        <v>37</v>
      </c>
      <c r="T88" s="82">
        <f>'KW 37'!$L$33</f>
        <v>0</v>
      </c>
    </row>
    <row r="89" spans="1:20" x14ac:dyDescent="0.3">
      <c r="A89" s="79">
        <f t="shared" si="24"/>
        <v>44394</v>
      </c>
      <c r="B89" s="80">
        <f t="shared" si="18"/>
        <v>44394</v>
      </c>
      <c r="C89" s="81">
        <f t="shared" si="19"/>
        <v>28</v>
      </c>
      <c r="D89" s="82">
        <f>'KW 28'!$N$33</f>
        <v>0</v>
      </c>
      <c r="I89" s="79">
        <f t="shared" si="25"/>
        <v>44425</v>
      </c>
      <c r="J89" s="80">
        <f t="shared" si="20"/>
        <v>44425</v>
      </c>
      <c r="K89" s="81">
        <f t="shared" si="21"/>
        <v>33</v>
      </c>
      <c r="L89" s="82">
        <f>'KW 33'!$H$33</f>
        <v>0</v>
      </c>
      <c r="Q89" s="79">
        <f t="shared" si="26"/>
        <v>44456</v>
      </c>
      <c r="R89" s="80">
        <f t="shared" si="22"/>
        <v>44456</v>
      </c>
      <c r="S89" s="81">
        <f t="shared" si="23"/>
        <v>37</v>
      </c>
      <c r="T89" s="82">
        <f>'KW 37'!$N$33</f>
        <v>0</v>
      </c>
    </row>
    <row r="90" spans="1:20" x14ac:dyDescent="0.3">
      <c r="A90" s="79">
        <f t="shared" si="24"/>
        <v>44395</v>
      </c>
      <c r="B90" s="80">
        <f t="shared" si="18"/>
        <v>44395</v>
      </c>
      <c r="C90" s="81">
        <f t="shared" si="19"/>
        <v>28</v>
      </c>
      <c r="D90" s="82">
        <f>'KW 28'!$P$33</f>
        <v>0</v>
      </c>
      <c r="I90" s="79">
        <f t="shared" si="25"/>
        <v>44426</v>
      </c>
      <c r="J90" s="80">
        <f t="shared" si="20"/>
        <v>44426</v>
      </c>
      <c r="K90" s="81">
        <f t="shared" si="21"/>
        <v>33</v>
      </c>
      <c r="L90" s="82">
        <f>'KW 33'!$J$33</f>
        <v>0</v>
      </c>
      <c r="Q90" s="79">
        <f t="shared" si="26"/>
        <v>44457</v>
      </c>
      <c r="R90" s="80">
        <f t="shared" si="22"/>
        <v>44457</v>
      </c>
      <c r="S90" s="81">
        <f t="shared" si="23"/>
        <v>37</v>
      </c>
      <c r="T90" s="82">
        <f>'KW 37'!$P$33</f>
        <v>0</v>
      </c>
    </row>
    <row r="91" spans="1:20" x14ac:dyDescent="0.3">
      <c r="A91" s="79">
        <f t="shared" si="24"/>
        <v>44396</v>
      </c>
      <c r="B91" s="80">
        <f t="shared" si="18"/>
        <v>44396</v>
      </c>
      <c r="C91" s="81">
        <f t="shared" si="19"/>
        <v>29</v>
      </c>
      <c r="D91" s="82">
        <f>'KW 29'!$D$33</f>
        <v>0</v>
      </c>
      <c r="I91" s="79">
        <f t="shared" si="25"/>
        <v>44427</v>
      </c>
      <c r="J91" s="80">
        <f t="shared" si="20"/>
        <v>44427</v>
      </c>
      <c r="K91" s="81">
        <f t="shared" si="21"/>
        <v>33</v>
      </c>
      <c r="L91" s="82">
        <f>'KW 33'!$L$33</f>
        <v>0</v>
      </c>
      <c r="Q91" s="79">
        <f t="shared" si="26"/>
        <v>44458</v>
      </c>
      <c r="R91" s="80">
        <f t="shared" si="22"/>
        <v>44458</v>
      </c>
      <c r="S91" s="81">
        <f t="shared" si="23"/>
        <v>37</v>
      </c>
      <c r="T91" s="82">
        <f>'KW 37'!$D$33</f>
        <v>0</v>
      </c>
    </row>
    <row r="92" spans="1:20" x14ac:dyDescent="0.3">
      <c r="A92" s="79">
        <f t="shared" si="24"/>
        <v>44397</v>
      </c>
      <c r="B92" s="80">
        <f t="shared" si="18"/>
        <v>44397</v>
      </c>
      <c r="C92" s="81">
        <f t="shared" si="19"/>
        <v>29</v>
      </c>
      <c r="D92" s="82">
        <f>'KW 29'!$F$33</f>
        <v>0</v>
      </c>
      <c r="I92" s="79">
        <f t="shared" si="25"/>
        <v>44428</v>
      </c>
      <c r="J92" s="80">
        <f t="shared" si="20"/>
        <v>44428</v>
      </c>
      <c r="K92" s="81">
        <f t="shared" si="21"/>
        <v>33</v>
      </c>
      <c r="L92" s="82">
        <f>'KW 33'!$N$33</f>
        <v>0</v>
      </c>
      <c r="Q92" s="79">
        <f t="shared" si="26"/>
        <v>44459</v>
      </c>
      <c r="R92" s="80">
        <f t="shared" si="22"/>
        <v>44459</v>
      </c>
      <c r="S92" s="81">
        <f t="shared" si="23"/>
        <v>38</v>
      </c>
      <c r="T92" s="82">
        <f>'KW 38'!$F$33</f>
        <v>0</v>
      </c>
    </row>
    <row r="93" spans="1:20" x14ac:dyDescent="0.3">
      <c r="A93" s="79">
        <f t="shared" si="24"/>
        <v>44398</v>
      </c>
      <c r="B93" s="80">
        <f t="shared" si="18"/>
        <v>44398</v>
      </c>
      <c r="C93" s="81">
        <f t="shared" si="19"/>
        <v>29</v>
      </c>
      <c r="D93" s="82">
        <f>'KW 29'!$H$33</f>
        <v>0</v>
      </c>
      <c r="I93" s="79">
        <f t="shared" si="25"/>
        <v>44429</v>
      </c>
      <c r="J93" s="80">
        <f t="shared" si="20"/>
        <v>44429</v>
      </c>
      <c r="K93" s="81">
        <f t="shared" si="21"/>
        <v>33</v>
      </c>
      <c r="L93" s="82">
        <f>'KW 33'!$P$33</f>
        <v>0</v>
      </c>
      <c r="Q93" s="79">
        <f t="shared" si="26"/>
        <v>44460</v>
      </c>
      <c r="R93" s="80">
        <f t="shared" si="22"/>
        <v>44460</v>
      </c>
      <c r="S93" s="81">
        <f t="shared" si="23"/>
        <v>38</v>
      </c>
      <c r="T93" s="82">
        <f>'KW 38'!$H$33</f>
        <v>0</v>
      </c>
    </row>
    <row r="94" spans="1:20" x14ac:dyDescent="0.3">
      <c r="A94" s="79">
        <f t="shared" si="24"/>
        <v>44399</v>
      </c>
      <c r="B94" s="80">
        <f t="shared" si="18"/>
        <v>44399</v>
      </c>
      <c r="C94" s="81">
        <f t="shared" si="19"/>
        <v>29</v>
      </c>
      <c r="D94" s="82">
        <f>'KW 29'!$J$33</f>
        <v>0</v>
      </c>
      <c r="I94" s="79">
        <f t="shared" si="25"/>
        <v>44430</v>
      </c>
      <c r="J94" s="80">
        <f t="shared" si="20"/>
        <v>44430</v>
      </c>
      <c r="K94" s="81">
        <f t="shared" si="21"/>
        <v>33</v>
      </c>
      <c r="L94" s="82">
        <f>'KW 33'!$D$33</f>
        <v>0</v>
      </c>
      <c r="Q94" s="79">
        <f t="shared" si="26"/>
        <v>44461</v>
      </c>
      <c r="R94" s="80">
        <f t="shared" si="22"/>
        <v>44461</v>
      </c>
      <c r="S94" s="81">
        <f t="shared" si="23"/>
        <v>38</v>
      </c>
      <c r="T94" s="82">
        <f>'KW 38'!$J$33</f>
        <v>0</v>
      </c>
    </row>
    <row r="95" spans="1:20" x14ac:dyDescent="0.3">
      <c r="A95" s="79">
        <f t="shared" si="24"/>
        <v>44400</v>
      </c>
      <c r="B95" s="80">
        <f t="shared" si="18"/>
        <v>44400</v>
      </c>
      <c r="C95" s="81">
        <f t="shared" si="19"/>
        <v>29</v>
      </c>
      <c r="D95" s="82">
        <f>'KW 29'!$L$33</f>
        <v>0</v>
      </c>
      <c r="I95" s="79">
        <f t="shared" si="25"/>
        <v>44431</v>
      </c>
      <c r="J95" s="80">
        <f t="shared" si="20"/>
        <v>44431</v>
      </c>
      <c r="K95" s="81">
        <f t="shared" si="21"/>
        <v>34</v>
      </c>
      <c r="L95" s="82">
        <f>'KW 34'!$F$33</f>
        <v>0</v>
      </c>
      <c r="Q95" s="79">
        <f t="shared" si="26"/>
        <v>44462</v>
      </c>
      <c r="R95" s="80">
        <f t="shared" si="22"/>
        <v>44462</v>
      </c>
      <c r="S95" s="81">
        <f t="shared" si="23"/>
        <v>38</v>
      </c>
      <c r="T95" s="82">
        <f>'KW 38'!$L$33</f>
        <v>0</v>
      </c>
    </row>
    <row r="96" spans="1:20" x14ac:dyDescent="0.3">
      <c r="A96" s="79">
        <f t="shared" si="24"/>
        <v>44401</v>
      </c>
      <c r="B96" s="80">
        <f t="shared" si="18"/>
        <v>44401</v>
      </c>
      <c r="C96" s="81">
        <f t="shared" si="19"/>
        <v>29</v>
      </c>
      <c r="D96" s="82">
        <f>'KW 29'!$N$33</f>
        <v>0</v>
      </c>
      <c r="I96" s="79">
        <f t="shared" si="25"/>
        <v>44432</v>
      </c>
      <c r="J96" s="80">
        <f t="shared" si="20"/>
        <v>44432</v>
      </c>
      <c r="K96" s="81">
        <f t="shared" si="21"/>
        <v>34</v>
      </c>
      <c r="L96" s="82">
        <f>'KW 34'!$H$33</f>
        <v>0</v>
      </c>
      <c r="Q96" s="79">
        <f t="shared" si="26"/>
        <v>44463</v>
      </c>
      <c r="R96" s="80">
        <f t="shared" si="22"/>
        <v>44463</v>
      </c>
      <c r="S96" s="81">
        <f t="shared" si="23"/>
        <v>38</v>
      </c>
      <c r="T96" s="82">
        <f>'KW 38'!$N$33</f>
        <v>0</v>
      </c>
    </row>
    <row r="97" spans="1:23" x14ac:dyDescent="0.3">
      <c r="A97" s="79">
        <f t="shared" si="24"/>
        <v>44402</v>
      </c>
      <c r="B97" s="80">
        <f t="shared" si="18"/>
        <v>44402</v>
      </c>
      <c r="C97" s="81">
        <f t="shared" si="19"/>
        <v>29</v>
      </c>
      <c r="D97" s="82">
        <f>'KW 29'!$P$33</f>
        <v>0</v>
      </c>
      <c r="I97" s="79">
        <f t="shared" si="25"/>
        <v>44433</v>
      </c>
      <c r="J97" s="80">
        <f t="shared" si="20"/>
        <v>44433</v>
      </c>
      <c r="K97" s="81">
        <f t="shared" si="21"/>
        <v>34</v>
      </c>
      <c r="L97" s="82">
        <f>'KW 34'!$J$33</f>
        <v>0</v>
      </c>
      <c r="Q97" s="79">
        <f t="shared" si="26"/>
        <v>44464</v>
      </c>
      <c r="R97" s="80">
        <f t="shared" si="22"/>
        <v>44464</v>
      </c>
      <c r="S97" s="81">
        <f t="shared" si="23"/>
        <v>38</v>
      </c>
      <c r="T97" s="82">
        <f>'KW 38'!$P$33</f>
        <v>0</v>
      </c>
    </row>
    <row r="98" spans="1:23" x14ac:dyDescent="0.3">
      <c r="A98" s="79">
        <f t="shared" si="24"/>
        <v>44403</v>
      </c>
      <c r="B98" s="80">
        <f t="shared" si="18"/>
        <v>44403</v>
      </c>
      <c r="C98" s="81">
        <f t="shared" si="19"/>
        <v>30</v>
      </c>
      <c r="D98" s="82">
        <f>'KW 30'!$D$33</f>
        <v>0</v>
      </c>
      <c r="I98" s="79">
        <f t="shared" si="25"/>
        <v>44434</v>
      </c>
      <c r="J98" s="80">
        <f t="shared" si="20"/>
        <v>44434</v>
      </c>
      <c r="K98" s="81">
        <f t="shared" si="21"/>
        <v>34</v>
      </c>
      <c r="L98" s="82">
        <f>'KW 34'!$L$33</f>
        <v>0</v>
      </c>
      <c r="Q98" s="79">
        <f t="shared" si="26"/>
        <v>44465</v>
      </c>
      <c r="R98" s="80">
        <f t="shared" si="22"/>
        <v>44465</v>
      </c>
      <c r="S98" s="81">
        <f t="shared" si="23"/>
        <v>38</v>
      </c>
      <c r="T98" s="82">
        <f>'KW 38'!$D$33</f>
        <v>0</v>
      </c>
    </row>
    <row r="99" spans="1:23" x14ac:dyDescent="0.3">
      <c r="A99" s="79">
        <f t="shared" si="24"/>
        <v>44404</v>
      </c>
      <c r="B99" s="80">
        <f t="shared" si="18"/>
        <v>44404</v>
      </c>
      <c r="C99" s="81">
        <f t="shared" si="19"/>
        <v>30</v>
      </c>
      <c r="D99" s="82">
        <f>'KW 30'!$F$33</f>
        <v>0</v>
      </c>
      <c r="I99" s="79">
        <f t="shared" si="25"/>
        <v>44435</v>
      </c>
      <c r="J99" s="80">
        <f t="shared" si="20"/>
        <v>44435</v>
      </c>
      <c r="K99" s="81">
        <f t="shared" si="21"/>
        <v>34</v>
      </c>
      <c r="L99" s="82">
        <f>'KW 34'!$N$33</f>
        <v>0</v>
      </c>
      <c r="Q99" s="79">
        <f t="shared" si="26"/>
        <v>44466</v>
      </c>
      <c r="R99" s="80">
        <f t="shared" si="22"/>
        <v>44466</v>
      </c>
      <c r="S99" s="81">
        <f t="shared" si="23"/>
        <v>39</v>
      </c>
      <c r="T99" s="82">
        <f>'KW 39'!$F$33</f>
        <v>0</v>
      </c>
    </row>
    <row r="100" spans="1:23" x14ac:dyDescent="0.3">
      <c r="A100" s="79">
        <f t="shared" si="24"/>
        <v>44405</v>
      </c>
      <c r="B100" s="80">
        <f t="shared" si="18"/>
        <v>44405</v>
      </c>
      <c r="C100" s="81">
        <f t="shared" si="19"/>
        <v>30</v>
      </c>
      <c r="D100" s="82">
        <f>'KW 30'!$H$33</f>
        <v>0</v>
      </c>
      <c r="I100" s="79">
        <f t="shared" si="25"/>
        <v>44436</v>
      </c>
      <c r="J100" s="80">
        <f t="shared" si="20"/>
        <v>44436</v>
      </c>
      <c r="K100" s="81">
        <f t="shared" si="21"/>
        <v>34</v>
      </c>
      <c r="L100" s="82">
        <f>'KW 34'!$P$33</f>
        <v>0</v>
      </c>
      <c r="Q100" s="79">
        <f t="shared" si="26"/>
        <v>44467</v>
      </c>
      <c r="R100" s="80">
        <f t="shared" si="22"/>
        <v>44467</v>
      </c>
      <c r="S100" s="81">
        <f t="shared" si="23"/>
        <v>39</v>
      </c>
      <c r="T100" s="82">
        <f>'KW 39'!$H$33</f>
        <v>0</v>
      </c>
    </row>
    <row r="101" spans="1:23" x14ac:dyDescent="0.3">
      <c r="A101" s="79">
        <f t="shared" si="24"/>
        <v>44406</v>
      </c>
      <c r="B101" s="80">
        <f t="shared" si="18"/>
        <v>44406</v>
      </c>
      <c r="C101" s="81">
        <f t="shared" si="19"/>
        <v>30</v>
      </c>
      <c r="D101" s="82">
        <f>'KW 30'!$J$33</f>
        <v>0</v>
      </c>
      <c r="I101" s="79">
        <f t="shared" si="25"/>
        <v>44437</v>
      </c>
      <c r="J101" s="80">
        <f t="shared" si="20"/>
        <v>44437</v>
      </c>
      <c r="K101" s="81">
        <f t="shared" si="21"/>
        <v>34</v>
      </c>
      <c r="L101" s="82">
        <f>'KW 34'!$D$33</f>
        <v>0</v>
      </c>
      <c r="Q101" s="79">
        <f t="shared" si="26"/>
        <v>44468</v>
      </c>
      <c r="R101" s="80">
        <f t="shared" si="22"/>
        <v>44468</v>
      </c>
      <c r="S101" s="81">
        <f t="shared" si="23"/>
        <v>39</v>
      </c>
      <c r="T101" s="82">
        <f>'KW 39'!$J$33</f>
        <v>0</v>
      </c>
    </row>
    <row r="102" spans="1:23" x14ac:dyDescent="0.3">
      <c r="A102" s="79">
        <f t="shared" si="24"/>
        <v>44407</v>
      </c>
      <c r="B102" s="80">
        <f t="shared" si="18"/>
        <v>44407</v>
      </c>
      <c r="C102" s="81">
        <f t="shared" si="19"/>
        <v>30</v>
      </c>
      <c r="D102" s="82">
        <f>'KW 30'!$L$33</f>
        <v>0</v>
      </c>
      <c r="I102" s="79">
        <f t="shared" si="25"/>
        <v>44438</v>
      </c>
      <c r="J102" s="80">
        <f t="shared" si="20"/>
        <v>44438</v>
      </c>
      <c r="K102" s="81">
        <f t="shared" si="21"/>
        <v>35</v>
      </c>
      <c r="L102" s="82">
        <f>IF(I102="","",'KW 35'!$F$33)</f>
        <v>0</v>
      </c>
      <c r="Q102" s="79">
        <f t="shared" si="26"/>
        <v>44469</v>
      </c>
      <c r="R102" s="80">
        <f t="shared" si="22"/>
        <v>44469</v>
      </c>
      <c r="S102" s="81">
        <f t="shared" si="23"/>
        <v>39</v>
      </c>
      <c r="T102" s="82">
        <f>'KW 39'!$L$33</f>
        <v>0</v>
      </c>
    </row>
    <row r="103" spans="1:23" ht="15" thickBot="1" x14ac:dyDescent="0.35">
      <c r="A103" s="84">
        <f t="shared" si="24"/>
        <v>44408</v>
      </c>
      <c r="B103" s="85">
        <f t="shared" si="18"/>
        <v>44408</v>
      </c>
      <c r="C103" s="86">
        <f t="shared" si="19"/>
        <v>30</v>
      </c>
      <c r="D103" s="87">
        <f>'KW 30'!$N$33</f>
        <v>0</v>
      </c>
      <c r="I103" s="79">
        <f t="shared" si="25"/>
        <v>44439</v>
      </c>
      <c r="J103" s="85">
        <f t="shared" si="20"/>
        <v>44439</v>
      </c>
      <c r="K103" s="86">
        <f t="shared" si="21"/>
        <v>35</v>
      </c>
      <c r="L103" s="87">
        <f>IF(I103="","",'KW 35'!$H$33)</f>
        <v>0</v>
      </c>
      <c r="Q103" s="79" t="str">
        <f t="shared" si="26"/>
        <v/>
      </c>
      <c r="R103" s="85" t="str">
        <f t="shared" si="22"/>
        <v/>
      </c>
      <c r="S103" s="86" t="str">
        <f t="shared" si="23"/>
        <v/>
      </c>
      <c r="T103" s="87" t="str">
        <f>IF(Q103="","",'KW 13'!$H$33)</f>
        <v/>
      </c>
    </row>
    <row r="104" spans="1:23" ht="15" thickTop="1" x14ac:dyDescent="0.3">
      <c r="C104" s="1" t="s">
        <v>71</v>
      </c>
      <c r="D104" s="59">
        <f>SUM(D73:D103)</f>
        <v>0</v>
      </c>
      <c r="K104" s="1" t="s">
        <v>72</v>
      </c>
      <c r="L104" s="59">
        <f>SUM(L73:L103)</f>
        <v>0</v>
      </c>
      <c r="S104" s="1" t="s">
        <v>73</v>
      </c>
      <c r="T104" s="59">
        <f>SUM(T73:T103)</f>
        <v>0</v>
      </c>
    </row>
    <row r="106" spans="1:23" ht="15" thickBot="1" x14ac:dyDescent="0.35">
      <c r="A106" s="75" t="s">
        <v>74</v>
      </c>
      <c r="B106" s="75">
        <f>Start!$B$1</f>
        <v>2021</v>
      </c>
      <c r="C106" s="7"/>
      <c r="D106" s="75"/>
      <c r="I106" s="75" t="s">
        <v>75</v>
      </c>
      <c r="J106" s="75">
        <f>Start!$B$1</f>
        <v>2021</v>
      </c>
      <c r="K106" s="7"/>
      <c r="L106" s="75"/>
      <c r="Q106" s="75" t="s">
        <v>76</v>
      </c>
      <c r="R106" s="75">
        <f>Start!$B$1</f>
        <v>2021</v>
      </c>
      <c r="S106" s="7"/>
      <c r="T106" s="75"/>
    </row>
    <row r="107" spans="1:23" x14ac:dyDescent="0.3">
      <c r="A107" s="76" t="s">
        <v>40</v>
      </c>
      <c r="B107" s="77" t="s">
        <v>48</v>
      </c>
      <c r="C107" s="77" t="s">
        <v>49</v>
      </c>
      <c r="D107" s="78" t="s">
        <v>50</v>
      </c>
      <c r="F107" s="110" t="s">
        <v>117</v>
      </c>
      <c r="G107" s="113">
        <f>SUMIF($C$108:$C$138,"39",$D$108:$D$138)</f>
        <v>0</v>
      </c>
      <c r="I107" s="76" t="s">
        <v>40</v>
      </c>
      <c r="J107" s="77" t="s">
        <v>48</v>
      </c>
      <c r="K107" s="77" t="s">
        <v>49</v>
      </c>
      <c r="L107" s="78" t="s">
        <v>50</v>
      </c>
      <c r="N107" s="110" t="s">
        <v>121</v>
      </c>
      <c r="O107" s="113">
        <f>SUMIF($K$108:$K$108,"43",$L$108:$L$138)</f>
        <v>0</v>
      </c>
      <c r="Q107" s="76" t="s">
        <v>40</v>
      </c>
      <c r="R107" s="77" t="s">
        <v>48</v>
      </c>
      <c r="S107" s="77" t="s">
        <v>49</v>
      </c>
      <c r="T107" s="78" t="s">
        <v>50</v>
      </c>
      <c r="V107" s="76" t="s">
        <v>125</v>
      </c>
      <c r="W107" s="88">
        <f>SUMIF($S$108:$S$138,"47",$T$108:$T$138)</f>
        <v>0</v>
      </c>
    </row>
    <row r="108" spans="1:23" x14ac:dyDescent="0.3">
      <c r="A108" s="79">
        <f>DATE(B106,10,1)</f>
        <v>44470</v>
      </c>
      <c r="B108" s="80">
        <f>A108</f>
        <v>44470</v>
      </c>
      <c r="C108" s="81">
        <f>IF(A108="","",WEEKNUM(A108,21))</f>
        <v>39</v>
      </c>
      <c r="D108" s="82">
        <f>'KW 39'!$L$33</f>
        <v>0</v>
      </c>
      <c r="F108" s="111" t="s">
        <v>118</v>
      </c>
      <c r="G108" s="114">
        <f>SUMIF($C$108:$C$138,"40",$D$108:$D$138)</f>
        <v>0</v>
      </c>
      <c r="I108" s="79">
        <f>DATE(J106,11,1)</f>
        <v>44501</v>
      </c>
      <c r="J108" s="80">
        <f>I108</f>
        <v>44501</v>
      </c>
      <c r="K108" s="81">
        <f>IF(I108="","",WEEKNUM(I108,21))</f>
        <v>44</v>
      </c>
      <c r="L108" s="82">
        <f>'KW 44'!$D$33</f>
        <v>0</v>
      </c>
      <c r="N108" s="111" t="s">
        <v>122</v>
      </c>
      <c r="O108" s="114">
        <f>SUMIF($K$108:$K$108,"44",$L$108:$L$138)</f>
        <v>0</v>
      </c>
      <c r="Q108" s="79">
        <f>DATE(R106,12,1)</f>
        <v>44531</v>
      </c>
      <c r="R108" s="80">
        <f>Q108</f>
        <v>44531</v>
      </c>
      <c r="S108" s="81">
        <f>IF(Q108="","",WEEKNUM(Q108,21))</f>
        <v>48</v>
      </c>
      <c r="T108" s="82">
        <f>'KW 48'!$H$33</f>
        <v>0</v>
      </c>
      <c r="V108" s="89" t="s">
        <v>126</v>
      </c>
      <c r="W108" s="82">
        <f>SUMIF($S$108:$S$138,"48",$T$108:$T$138)</f>
        <v>0</v>
      </c>
    </row>
    <row r="109" spans="1:23" x14ac:dyDescent="0.3">
      <c r="A109" s="79">
        <f>IFERROR(IF(MONTH(A108+1)=MONTH(A$108),A108+1,""),"")</f>
        <v>44471</v>
      </c>
      <c r="B109" s="80">
        <f t="shared" ref="B109:B138" si="27">A109</f>
        <v>44471</v>
      </c>
      <c r="C109" s="81">
        <f t="shared" ref="C109:C138" si="28">IF(A109="","",WEEKNUM(A109,21))</f>
        <v>39</v>
      </c>
      <c r="D109" s="82">
        <f>'KW 39'!$N$33</f>
        <v>0</v>
      </c>
      <c r="F109" s="111" t="s">
        <v>119</v>
      </c>
      <c r="G109" s="114">
        <f>SUMIF($C$108:$C$138,"41",$D$108:$D$138)</f>
        <v>0</v>
      </c>
      <c r="I109" s="79">
        <f>IFERROR(IF(MONTH(I108+1)=MONTH(I$108),I108+1,""),"")</f>
        <v>44502</v>
      </c>
      <c r="J109" s="80">
        <f t="shared" ref="J109:J138" si="29">I109</f>
        <v>44502</v>
      </c>
      <c r="K109" s="81">
        <f t="shared" ref="K109:K138" si="30">IF(I109="","",WEEKNUM(I109,21))</f>
        <v>44</v>
      </c>
      <c r="L109" s="82">
        <f>'KW 44'!$F$33</f>
        <v>0</v>
      </c>
      <c r="N109" s="111" t="s">
        <v>123</v>
      </c>
      <c r="O109" s="114">
        <f>SUMIF($K$108:$K$108,"45",$L$108:$L$138)</f>
        <v>0</v>
      </c>
      <c r="Q109" s="79">
        <f>IFERROR(IF(MONTH(Q108+1)=MONTH(Q$108),Q108+1,""),"")</f>
        <v>44532</v>
      </c>
      <c r="R109" s="80">
        <f t="shared" ref="R109:R138" si="31">Q109</f>
        <v>44532</v>
      </c>
      <c r="S109" s="81">
        <f t="shared" ref="S109:S138" si="32">IF(Q109="","",WEEKNUM(Q109,21))</f>
        <v>48</v>
      </c>
      <c r="T109" s="82">
        <f>'KW 48'!$J$33</f>
        <v>0</v>
      </c>
      <c r="V109" s="89" t="s">
        <v>127</v>
      </c>
      <c r="W109" s="82">
        <f>SUMIF($S$108:$S$138,"49",$T$108:$T$138)</f>
        <v>0</v>
      </c>
    </row>
    <row r="110" spans="1:23" x14ac:dyDescent="0.3">
      <c r="A110" s="79">
        <f t="shared" ref="A110:A138" si="33">IFERROR(IF(MONTH(A109+1)=MONTH(A$108),A109+1,""),"")</f>
        <v>44472</v>
      </c>
      <c r="B110" s="80">
        <f t="shared" si="27"/>
        <v>44472</v>
      </c>
      <c r="C110" s="81">
        <f t="shared" si="28"/>
        <v>39</v>
      </c>
      <c r="D110" s="82">
        <f>'KW 39'!$P$33</f>
        <v>0</v>
      </c>
      <c r="F110" s="111" t="s">
        <v>120</v>
      </c>
      <c r="G110" s="114">
        <f>SUMIF($C$108:$C$138,"42",$D$108:$D$138)</f>
        <v>0</v>
      </c>
      <c r="I110" s="79">
        <f t="shared" ref="I110:I138" si="34">IFERROR(IF(MONTH(I109+1)=MONTH(I$108),I109+1,""),"")</f>
        <v>44503</v>
      </c>
      <c r="J110" s="80">
        <f t="shared" si="29"/>
        <v>44503</v>
      </c>
      <c r="K110" s="81">
        <f t="shared" si="30"/>
        <v>44</v>
      </c>
      <c r="L110" s="82">
        <f>'KW 44'!$H$33</f>
        <v>0</v>
      </c>
      <c r="N110" s="111" t="s">
        <v>124</v>
      </c>
      <c r="O110" s="114">
        <f>SUMIF($K$108:$K$108,"46",$L$108:$L$138)</f>
        <v>0</v>
      </c>
      <c r="Q110" s="79">
        <f t="shared" ref="Q110:Q138" si="35">IFERROR(IF(MONTH(Q109+1)=MONTH(Q$108),Q109+1,""),"")</f>
        <v>44533</v>
      </c>
      <c r="R110" s="80">
        <f t="shared" si="31"/>
        <v>44533</v>
      </c>
      <c r="S110" s="81">
        <f t="shared" si="32"/>
        <v>48</v>
      </c>
      <c r="T110" s="82">
        <f>'KW 48'!$L$33</f>
        <v>0</v>
      </c>
      <c r="V110" s="89" t="s">
        <v>128</v>
      </c>
      <c r="W110" s="82">
        <f>SUMIF($S$108:$S$138,"50",$T$108:$T$138)</f>
        <v>0</v>
      </c>
    </row>
    <row r="111" spans="1:23" x14ac:dyDescent="0.3">
      <c r="A111" s="79">
        <f t="shared" si="33"/>
        <v>44473</v>
      </c>
      <c r="B111" s="80">
        <f t="shared" si="27"/>
        <v>44473</v>
      </c>
      <c r="C111" s="81">
        <f t="shared" si="28"/>
        <v>40</v>
      </c>
      <c r="D111" s="82">
        <f>'KW 40'!$D$33</f>
        <v>0</v>
      </c>
      <c r="F111" s="111" t="s">
        <v>121</v>
      </c>
      <c r="G111" s="114">
        <f>SUMIF($C$108:$C$138,"43",$D$108:$D$138)</f>
        <v>0</v>
      </c>
      <c r="I111" s="79">
        <f t="shared" si="34"/>
        <v>44504</v>
      </c>
      <c r="J111" s="80">
        <f t="shared" si="29"/>
        <v>44504</v>
      </c>
      <c r="K111" s="81">
        <f t="shared" si="30"/>
        <v>44</v>
      </c>
      <c r="L111" s="82">
        <f>'KW 44'!$J$33</f>
        <v>0</v>
      </c>
      <c r="N111" s="111" t="s">
        <v>125</v>
      </c>
      <c r="O111" s="114">
        <f>SUMIF($K$108:$K$108,"47",$L$108:$L$138)</f>
        <v>0</v>
      </c>
      <c r="Q111" s="79">
        <f t="shared" si="35"/>
        <v>44534</v>
      </c>
      <c r="R111" s="80">
        <f t="shared" si="31"/>
        <v>44534</v>
      </c>
      <c r="S111" s="81">
        <f t="shared" si="32"/>
        <v>48</v>
      </c>
      <c r="T111" s="82">
        <f>'KW 48'!$N$33</f>
        <v>0</v>
      </c>
      <c r="V111" s="89" t="s">
        <v>129</v>
      </c>
      <c r="W111" s="82">
        <f>SUMIF($S$108:$S$138,"51",$T$108:$T$138)</f>
        <v>0</v>
      </c>
    </row>
    <row r="112" spans="1:23" ht="15" thickBot="1" x14ac:dyDescent="0.35">
      <c r="A112" s="79">
        <f t="shared" si="33"/>
        <v>44474</v>
      </c>
      <c r="B112" s="80">
        <f t="shared" si="27"/>
        <v>44474</v>
      </c>
      <c r="C112" s="81">
        <f t="shared" si="28"/>
        <v>40</v>
      </c>
      <c r="D112" s="82">
        <f>'KW 40'!$F$33</f>
        <v>0</v>
      </c>
      <c r="F112" s="112" t="s">
        <v>122</v>
      </c>
      <c r="G112" s="115">
        <f>SUMIF($C$108:$C$138,"44",$D$108:$D$138)</f>
        <v>0</v>
      </c>
      <c r="I112" s="79">
        <f t="shared" si="34"/>
        <v>44505</v>
      </c>
      <c r="J112" s="80">
        <f t="shared" si="29"/>
        <v>44505</v>
      </c>
      <c r="K112" s="81">
        <f t="shared" si="30"/>
        <v>44</v>
      </c>
      <c r="L112" s="82">
        <f>'KW 44'!$L$33</f>
        <v>0</v>
      </c>
      <c r="N112" s="112" t="s">
        <v>126</v>
      </c>
      <c r="O112" s="115">
        <f>SUMIF($K$108:$K$108,"48",$L$108:$L$138)</f>
        <v>0</v>
      </c>
      <c r="Q112" s="79">
        <f t="shared" si="35"/>
        <v>44535</v>
      </c>
      <c r="R112" s="80">
        <f t="shared" si="31"/>
        <v>44535</v>
      </c>
      <c r="S112" s="81">
        <f t="shared" si="32"/>
        <v>48</v>
      </c>
      <c r="T112" s="82">
        <f>'KW 48'!$P$33</f>
        <v>0</v>
      </c>
      <c r="V112" s="89" t="s">
        <v>130</v>
      </c>
      <c r="W112" s="82">
        <f>SUMIF($S$108:$S$138,"52",$T$108:$T$138)</f>
        <v>0</v>
      </c>
    </row>
    <row r="113" spans="1:23" ht="15" thickBot="1" x14ac:dyDescent="0.35">
      <c r="A113" s="79">
        <f t="shared" si="33"/>
        <v>44475</v>
      </c>
      <c r="B113" s="80">
        <f t="shared" si="27"/>
        <v>44475</v>
      </c>
      <c r="C113" s="81">
        <f t="shared" si="28"/>
        <v>40</v>
      </c>
      <c r="D113" s="82">
        <f>'KW 40'!$H$33</f>
        <v>0</v>
      </c>
      <c r="I113" s="79">
        <f t="shared" si="34"/>
        <v>44506</v>
      </c>
      <c r="J113" s="80">
        <f t="shared" si="29"/>
        <v>44506</v>
      </c>
      <c r="K113" s="81">
        <f t="shared" si="30"/>
        <v>44</v>
      </c>
      <c r="L113" s="82">
        <f>'KW 44'!$N$33</f>
        <v>0</v>
      </c>
      <c r="Q113" s="79">
        <f t="shared" si="35"/>
        <v>44536</v>
      </c>
      <c r="R113" s="80">
        <f t="shared" si="31"/>
        <v>44536</v>
      </c>
      <c r="S113" s="81">
        <f t="shared" si="32"/>
        <v>49</v>
      </c>
      <c r="T113" s="82">
        <f>'KW 49'!$D$33</f>
        <v>0</v>
      </c>
      <c r="V113" s="90" t="s">
        <v>52</v>
      </c>
      <c r="W113" s="83">
        <f>SUMIF($S$108:$S$138,"53",$T$108:$T$138)</f>
        <v>0</v>
      </c>
    </row>
    <row r="114" spans="1:23" x14ac:dyDescent="0.3">
      <c r="A114" s="79">
        <f t="shared" si="33"/>
        <v>44476</v>
      </c>
      <c r="B114" s="80">
        <f t="shared" si="27"/>
        <v>44476</v>
      </c>
      <c r="C114" s="81">
        <f t="shared" si="28"/>
        <v>40</v>
      </c>
      <c r="D114" s="82">
        <f>'KW 40'!$J$33</f>
        <v>0</v>
      </c>
      <c r="F114" s="7" t="s">
        <v>0</v>
      </c>
      <c r="G114" s="93">
        <f>SUM(G107:G112)</f>
        <v>0</v>
      </c>
      <c r="I114" s="79">
        <f t="shared" si="34"/>
        <v>44507</v>
      </c>
      <c r="J114" s="80">
        <f t="shared" si="29"/>
        <v>44507</v>
      </c>
      <c r="K114" s="81">
        <f t="shared" si="30"/>
        <v>44</v>
      </c>
      <c r="L114" s="82">
        <f>'KW 44'!$P$33</f>
        <v>0</v>
      </c>
      <c r="N114" s="7" t="s">
        <v>0</v>
      </c>
      <c r="O114" s="93">
        <f>SUM(O107:O112)</f>
        <v>0</v>
      </c>
      <c r="Q114" s="79">
        <f t="shared" si="35"/>
        <v>44537</v>
      </c>
      <c r="R114" s="80">
        <f t="shared" si="31"/>
        <v>44537</v>
      </c>
      <c r="S114" s="81">
        <f t="shared" si="32"/>
        <v>49</v>
      </c>
      <c r="T114" s="82">
        <f>'KW 49'!$F$33</f>
        <v>0</v>
      </c>
    </row>
    <row r="115" spans="1:23" x14ac:dyDescent="0.3">
      <c r="A115" s="79">
        <f t="shared" si="33"/>
        <v>44477</v>
      </c>
      <c r="B115" s="80">
        <f t="shared" si="27"/>
        <v>44477</v>
      </c>
      <c r="C115" s="81">
        <f t="shared" si="28"/>
        <v>40</v>
      </c>
      <c r="D115" s="82">
        <f>'KW 40'!$L$33</f>
        <v>0</v>
      </c>
      <c r="I115" s="79">
        <f t="shared" si="34"/>
        <v>44508</v>
      </c>
      <c r="J115" s="80">
        <f t="shared" si="29"/>
        <v>44508</v>
      </c>
      <c r="K115" s="81">
        <f t="shared" si="30"/>
        <v>45</v>
      </c>
      <c r="L115" s="82">
        <f>'KW 45'!$D$33</f>
        <v>0</v>
      </c>
      <c r="Q115" s="79">
        <f t="shared" si="35"/>
        <v>44538</v>
      </c>
      <c r="R115" s="80">
        <f t="shared" si="31"/>
        <v>44538</v>
      </c>
      <c r="S115" s="81">
        <f t="shared" si="32"/>
        <v>49</v>
      </c>
      <c r="T115" s="82">
        <f>'KW 49'!$H$33</f>
        <v>0</v>
      </c>
      <c r="V115" s="7" t="s">
        <v>0</v>
      </c>
      <c r="W115" s="93">
        <f>SUM(W107:W113)</f>
        <v>0</v>
      </c>
    </row>
    <row r="116" spans="1:23" x14ac:dyDescent="0.3">
      <c r="A116" s="79">
        <f t="shared" si="33"/>
        <v>44478</v>
      </c>
      <c r="B116" s="80">
        <f t="shared" si="27"/>
        <v>44478</v>
      </c>
      <c r="C116" s="81">
        <f t="shared" si="28"/>
        <v>40</v>
      </c>
      <c r="D116" s="82">
        <f>'KW 40'!$N$33</f>
        <v>0</v>
      </c>
      <c r="I116" s="79">
        <f t="shared" si="34"/>
        <v>44509</v>
      </c>
      <c r="J116" s="80">
        <f t="shared" si="29"/>
        <v>44509</v>
      </c>
      <c r="K116" s="81">
        <f t="shared" si="30"/>
        <v>45</v>
      </c>
      <c r="L116" s="82">
        <f>'KW 45'!$F$33</f>
        <v>0</v>
      </c>
      <c r="Q116" s="79">
        <f t="shared" si="35"/>
        <v>44539</v>
      </c>
      <c r="R116" s="80">
        <f t="shared" si="31"/>
        <v>44539</v>
      </c>
      <c r="S116" s="81">
        <f t="shared" si="32"/>
        <v>49</v>
      </c>
      <c r="T116" s="82">
        <f>'KW 49'!$J$33</f>
        <v>0</v>
      </c>
    </row>
    <row r="117" spans="1:23" x14ac:dyDescent="0.3">
      <c r="A117" s="79">
        <f t="shared" si="33"/>
        <v>44479</v>
      </c>
      <c r="B117" s="80">
        <f t="shared" si="27"/>
        <v>44479</v>
      </c>
      <c r="C117" s="81">
        <f t="shared" si="28"/>
        <v>40</v>
      </c>
      <c r="D117" s="82">
        <f>'KW 40'!$P$33</f>
        <v>0</v>
      </c>
      <c r="I117" s="79">
        <f t="shared" si="34"/>
        <v>44510</v>
      </c>
      <c r="J117" s="80">
        <f t="shared" si="29"/>
        <v>44510</v>
      </c>
      <c r="K117" s="81">
        <f t="shared" si="30"/>
        <v>45</v>
      </c>
      <c r="L117" s="82">
        <f>'KW 45'!$H$33</f>
        <v>0</v>
      </c>
      <c r="Q117" s="79">
        <f t="shared" si="35"/>
        <v>44540</v>
      </c>
      <c r="R117" s="80">
        <f t="shared" si="31"/>
        <v>44540</v>
      </c>
      <c r="S117" s="81">
        <f t="shared" si="32"/>
        <v>49</v>
      </c>
      <c r="T117" s="82">
        <f>'KW 49'!$L$33</f>
        <v>0</v>
      </c>
    </row>
    <row r="118" spans="1:23" x14ac:dyDescent="0.3">
      <c r="A118" s="79">
        <f t="shared" si="33"/>
        <v>44480</v>
      </c>
      <c r="B118" s="80">
        <f t="shared" si="27"/>
        <v>44480</v>
      </c>
      <c r="C118" s="81">
        <f t="shared" si="28"/>
        <v>41</v>
      </c>
      <c r="D118" s="82">
        <f>'KW 41'!$D$33</f>
        <v>0</v>
      </c>
      <c r="I118" s="79">
        <f t="shared" si="34"/>
        <v>44511</v>
      </c>
      <c r="J118" s="80">
        <f t="shared" si="29"/>
        <v>44511</v>
      </c>
      <c r="K118" s="81">
        <f t="shared" si="30"/>
        <v>45</v>
      </c>
      <c r="L118" s="82">
        <f>'KW 45'!$J$33</f>
        <v>0</v>
      </c>
      <c r="Q118" s="79">
        <f t="shared" si="35"/>
        <v>44541</v>
      </c>
      <c r="R118" s="80">
        <f t="shared" si="31"/>
        <v>44541</v>
      </c>
      <c r="S118" s="81">
        <f t="shared" si="32"/>
        <v>49</v>
      </c>
      <c r="T118" s="82">
        <f>'KW 49'!$N$33</f>
        <v>0</v>
      </c>
    </row>
    <row r="119" spans="1:23" x14ac:dyDescent="0.3">
      <c r="A119" s="79">
        <f t="shared" si="33"/>
        <v>44481</v>
      </c>
      <c r="B119" s="80">
        <f t="shared" si="27"/>
        <v>44481</v>
      </c>
      <c r="C119" s="81">
        <f t="shared" si="28"/>
        <v>41</v>
      </c>
      <c r="D119" s="82">
        <f>'KW 41'!$F$33</f>
        <v>0</v>
      </c>
      <c r="I119" s="79">
        <f t="shared" si="34"/>
        <v>44512</v>
      </c>
      <c r="J119" s="80">
        <f t="shared" si="29"/>
        <v>44512</v>
      </c>
      <c r="K119" s="81">
        <f t="shared" si="30"/>
        <v>45</v>
      </c>
      <c r="L119" s="82">
        <f>'KW 45'!$L$33</f>
        <v>0</v>
      </c>
      <c r="Q119" s="79">
        <f t="shared" si="35"/>
        <v>44542</v>
      </c>
      <c r="R119" s="80">
        <f t="shared" si="31"/>
        <v>44542</v>
      </c>
      <c r="S119" s="81">
        <f t="shared" si="32"/>
        <v>49</v>
      </c>
      <c r="T119" s="82">
        <f>'KW 49'!$P$33</f>
        <v>0</v>
      </c>
    </row>
    <row r="120" spans="1:23" x14ac:dyDescent="0.3">
      <c r="A120" s="79">
        <f t="shared" si="33"/>
        <v>44482</v>
      </c>
      <c r="B120" s="80">
        <f t="shared" si="27"/>
        <v>44482</v>
      </c>
      <c r="C120" s="81">
        <f t="shared" si="28"/>
        <v>41</v>
      </c>
      <c r="D120" s="82">
        <f>'KW 41'!$H$33</f>
        <v>0</v>
      </c>
      <c r="I120" s="79">
        <f t="shared" si="34"/>
        <v>44513</v>
      </c>
      <c r="J120" s="80">
        <f t="shared" si="29"/>
        <v>44513</v>
      </c>
      <c r="K120" s="81">
        <f t="shared" si="30"/>
        <v>45</v>
      </c>
      <c r="L120" s="82">
        <f>'KW 45'!$N$33</f>
        <v>0</v>
      </c>
      <c r="Q120" s="79">
        <f t="shared" si="35"/>
        <v>44543</v>
      </c>
      <c r="R120" s="80">
        <f t="shared" si="31"/>
        <v>44543</v>
      </c>
      <c r="S120" s="81">
        <f t="shared" si="32"/>
        <v>50</v>
      </c>
      <c r="T120" s="82">
        <f>'KW 50'!$D$33</f>
        <v>0</v>
      </c>
    </row>
    <row r="121" spans="1:23" x14ac:dyDescent="0.3">
      <c r="A121" s="79">
        <f t="shared" si="33"/>
        <v>44483</v>
      </c>
      <c r="B121" s="80">
        <f t="shared" si="27"/>
        <v>44483</v>
      </c>
      <c r="C121" s="81">
        <f t="shared" si="28"/>
        <v>41</v>
      </c>
      <c r="D121" s="82">
        <f>'KW 41'!$J$33</f>
        <v>0</v>
      </c>
      <c r="I121" s="79">
        <f t="shared" si="34"/>
        <v>44514</v>
      </c>
      <c r="J121" s="80">
        <f t="shared" si="29"/>
        <v>44514</v>
      </c>
      <c r="K121" s="81">
        <f t="shared" si="30"/>
        <v>45</v>
      </c>
      <c r="L121" s="82">
        <f>'KW 45'!$P$33</f>
        <v>0</v>
      </c>
      <c r="Q121" s="79">
        <f t="shared" si="35"/>
        <v>44544</v>
      </c>
      <c r="R121" s="80">
        <f t="shared" si="31"/>
        <v>44544</v>
      </c>
      <c r="S121" s="81">
        <f t="shared" si="32"/>
        <v>50</v>
      </c>
      <c r="T121" s="82">
        <f>'KW 50'!$F$33</f>
        <v>0</v>
      </c>
    </row>
    <row r="122" spans="1:23" x14ac:dyDescent="0.3">
      <c r="A122" s="79">
        <f t="shared" si="33"/>
        <v>44484</v>
      </c>
      <c r="B122" s="80">
        <f t="shared" si="27"/>
        <v>44484</v>
      </c>
      <c r="C122" s="81">
        <f t="shared" si="28"/>
        <v>41</v>
      </c>
      <c r="D122" s="82">
        <f>'KW 41'!$L$33</f>
        <v>0</v>
      </c>
      <c r="I122" s="79">
        <f t="shared" si="34"/>
        <v>44515</v>
      </c>
      <c r="J122" s="80">
        <f t="shared" si="29"/>
        <v>44515</v>
      </c>
      <c r="K122" s="81">
        <f t="shared" si="30"/>
        <v>46</v>
      </c>
      <c r="L122" s="82">
        <f>'KW 46'!$D$33</f>
        <v>0</v>
      </c>
      <c r="Q122" s="79">
        <f t="shared" si="35"/>
        <v>44545</v>
      </c>
      <c r="R122" s="80">
        <f t="shared" si="31"/>
        <v>44545</v>
      </c>
      <c r="S122" s="81">
        <f t="shared" si="32"/>
        <v>50</v>
      </c>
      <c r="T122" s="82">
        <f>'KW 50'!$H$33</f>
        <v>0</v>
      </c>
    </row>
    <row r="123" spans="1:23" x14ac:dyDescent="0.3">
      <c r="A123" s="79">
        <f t="shared" si="33"/>
        <v>44485</v>
      </c>
      <c r="B123" s="80">
        <f t="shared" si="27"/>
        <v>44485</v>
      </c>
      <c r="C123" s="81">
        <f t="shared" si="28"/>
        <v>41</v>
      </c>
      <c r="D123" s="82">
        <f>'KW 41'!$N$33</f>
        <v>0</v>
      </c>
      <c r="I123" s="79">
        <f t="shared" si="34"/>
        <v>44516</v>
      </c>
      <c r="J123" s="80">
        <f t="shared" si="29"/>
        <v>44516</v>
      </c>
      <c r="K123" s="81">
        <f t="shared" si="30"/>
        <v>46</v>
      </c>
      <c r="L123" s="82">
        <f>'KW 46'!$F$33</f>
        <v>0</v>
      </c>
      <c r="Q123" s="79">
        <f t="shared" si="35"/>
        <v>44546</v>
      </c>
      <c r="R123" s="80">
        <f t="shared" si="31"/>
        <v>44546</v>
      </c>
      <c r="S123" s="81">
        <f t="shared" si="32"/>
        <v>50</v>
      </c>
      <c r="T123" s="82">
        <f>'KW 50'!$J$33</f>
        <v>0</v>
      </c>
    </row>
    <row r="124" spans="1:23" x14ac:dyDescent="0.3">
      <c r="A124" s="79">
        <f t="shared" si="33"/>
        <v>44486</v>
      </c>
      <c r="B124" s="80">
        <f t="shared" si="27"/>
        <v>44486</v>
      </c>
      <c r="C124" s="81">
        <f t="shared" si="28"/>
        <v>41</v>
      </c>
      <c r="D124" s="82">
        <f>'KW 41'!$P$33</f>
        <v>0</v>
      </c>
      <c r="I124" s="79">
        <f t="shared" si="34"/>
        <v>44517</v>
      </c>
      <c r="J124" s="80">
        <f t="shared" si="29"/>
        <v>44517</v>
      </c>
      <c r="K124" s="81">
        <f t="shared" si="30"/>
        <v>46</v>
      </c>
      <c r="L124" s="82">
        <f>'KW 46'!$H$33</f>
        <v>0</v>
      </c>
      <c r="Q124" s="79">
        <f t="shared" si="35"/>
        <v>44547</v>
      </c>
      <c r="R124" s="80">
        <f t="shared" si="31"/>
        <v>44547</v>
      </c>
      <c r="S124" s="81">
        <f t="shared" si="32"/>
        <v>50</v>
      </c>
      <c r="T124" s="82">
        <f>'KW 50'!$L$33</f>
        <v>0</v>
      </c>
    </row>
    <row r="125" spans="1:23" x14ac:dyDescent="0.3">
      <c r="A125" s="79">
        <f t="shared" si="33"/>
        <v>44487</v>
      </c>
      <c r="B125" s="80">
        <f t="shared" si="27"/>
        <v>44487</v>
      </c>
      <c r="C125" s="81">
        <f t="shared" si="28"/>
        <v>42</v>
      </c>
      <c r="D125" s="82">
        <f>'KW 42'!$D$33</f>
        <v>0</v>
      </c>
      <c r="I125" s="79">
        <f t="shared" si="34"/>
        <v>44518</v>
      </c>
      <c r="J125" s="80">
        <f t="shared" si="29"/>
        <v>44518</v>
      </c>
      <c r="K125" s="81">
        <f t="shared" si="30"/>
        <v>46</v>
      </c>
      <c r="L125" s="82">
        <f>'KW 46'!$J$33</f>
        <v>0</v>
      </c>
      <c r="Q125" s="79">
        <f t="shared" si="35"/>
        <v>44548</v>
      </c>
      <c r="R125" s="80">
        <f t="shared" si="31"/>
        <v>44548</v>
      </c>
      <c r="S125" s="81">
        <f t="shared" si="32"/>
        <v>50</v>
      </c>
      <c r="T125" s="82">
        <f>'KW 50'!$N$33</f>
        <v>0</v>
      </c>
    </row>
    <row r="126" spans="1:23" x14ac:dyDescent="0.3">
      <c r="A126" s="79">
        <f t="shared" si="33"/>
        <v>44488</v>
      </c>
      <c r="B126" s="80">
        <f t="shared" si="27"/>
        <v>44488</v>
      </c>
      <c r="C126" s="81">
        <f t="shared" si="28"/>
        <v>42</v>
      </c>
      <c r="D126" s="82">
        <f>'KW 42'!$F$33</f>
        <v>0</v>
      </c>
      <c r="I126" s="79">
        <f t="shared" si="34"/>
        <v>44519</v>
      </c>
      <c r="J126" s="80">
        <f t="shared" si="29"/>
        <v>44519</v>
      </c>
      <c r="K126" s="81">
        <f t="shared" si="30"/>
        <v>46</v>
      </c>
      <c r="L126" s="82">
        <f>'KW 46'!$L$33</f>
        <v>0</v>
      </c>
      <c r="Q126" s="79">
        <f t="shared" si="35"/>
        <v>44549</v>
      </c>
      <c r="R126" s="80">
        <f t="shared" si="31"/>
        <v>44549</v>
      </c>
      <c r="S126" s="81">
        <f t="shared" si="32"/>
        <v>50</v>
      </c>
      <c r="T126" s="82">
        <f>'KW 50'!$P$33</f>
        <v>0</v>
      </c>
    </row>
    <row r="127" spans="1:23" x14ac:dyDescent="0.3">
      <c r="A127" s="79">
        <f t="shared" si="33"/>
        <v>44489</v>
      </c>
      <c r="B127" s="80">
        <f t="shared" si="27"/>
        <v>44489</v>
      </c>
      <c r="C127" s="81">
        <f t="shared" si="28"/>
        <v>42</v>
      </c>
      <c r="D127" s="82">
        <f>'KW 42'!$H$33</f>
        <v>0</v>
      </c>
      <c r="I127" s="79">
        <f t="shared" si="34"/>
        <v>44520</v>
      </c>
      <c r="J127" s="80">
        <f t="shared" si="29"/>
        <v>44520</v>
      </c>
      <c r="K127" s="81">
        <f t="shared" si="30"/>
        <v>46</v>
      </c>
      <c r="L127" s="82">
        <f>'KW 46'!$N$33</f>
        <v>0</v>
      </c>
      <c r="Q127" s="79">
        <f t="shared" si="35"/>
        <v>44550</v>
      </c>
      <c r="R127" s="80">
        <f t="shared" si="31"/>
        <v>44550</v>
      </c>
      <c r="S127" s="81">
        <f t="shared" si="32"/>
        <v>51</v>
      </c>
      <c r="T127" s="82">
        <f>'KW 51'!$D$33</f>
        <v>0</v>
      </c>
    </row>
    <row r="128" spans="1:23" x14ac:dyDescent="0.3">
      <c r="A128" s="79">
        <f t="shared" si="33"/>
        <v>44490</v>
      </c>
      <c r="B128" s="80">
        <f t="shared" si="27"/>
        <v>44490</v>
      </c>
      <c r="C128" s="81">
        <f t="shared" si="28"/>
        <v>42</v>
      </c>
      <c r="D128" s="82">
        <f>'KW 42'!$J$33</f>
        <v>0</v>
      </c>
      <c r="I128" s="79">
        <f t="shared" si="34"/>
        <v>44521</v>
      </c>
      <c r="J128" s="80">
        <f t="shared" si="29"/>
        <v>44521</v>
      </c>
      <c r="K128" s="81">
        <f t="shared" si="30"/>
        <v>46</v>
      </c>
      <c r="L128" s="82">
        <f>'KW 46'!$P$33</f>
        <v>0</v>
      </c>
      <c r="Q128" s="79">
        <f t="shared" si="35"/>
        <v>44551</v>
      </c>
      <c r="R128" s="80">
        <f t="shared" si="31"/>
        <v>44551</v>
      </c>
      <c r="S128" s="81">
        <f t="shared" si="32"/>
        <v>51</v>
      </c>
      <c r="T128" s="82">
        <f>'KW 51'!$F$33</f>
        <v>0</v>
      </c>
    </row>
    <row r="129" spans="1:20" x14ac:dyDescent="0.3">
      <c r="A129" s="79">
        <f t="shared" si="33"/>
        <v>44491</v>
      </c>
      <c r="B129" s="80">
        <f t="shared" si="27"/>
        <v>44491</v>
      </c>
      <c r="C129" s="81">
        <f t="shared" si="28"/>
        <v>42</v>
      </c>
      <c r="D129" s="82">
        <f>'KW 42'!$L$33</f>
        <v>0</v>
      </c>
      <c r="I129" s="79">
        <f t="shared" si="34"/>
        <v>44522</v>
      </c>
      <c r="J129" s="80">
        <f t="shared" si="29"/>
        <v>44522</v>
      </c>
      <c r="K129" s="81">
        <f t="shared" si="30"/>
        <v>47</v>
      </c>
      <c r="L129" s="82">
        <f>'KW 47'!$D$33</f>
        <v>0</v>
      </c>
      <c r="Q129" s="79">
        <f t="shared" si="35"/>
        <v>44552</v>
      </c>
      <c r="R129" s="80">
        <f t="shared" si="31"/>
        <v>44552</v>
      </c>
      <c r="S129" s="81">
        <f t="shared" si="32"/>
        <v>51</v>
      </c>
      <c r="T129" s="82">
        <f>'KW 51'!$H$33</f>
        <v>0</v>
      </c>
    </row>
    <row r="130" spans="1:20" x14ac:dyDescent="0.3">
      <c r="A130" s="79">
        <f t="shared" si="33"/>
        <v>44492</v>
      </c>
      <c r="B130" s="80">
        <f t="shared" si="27"/>
        <v>44492</v>
      </c>
      <c r="C130" s="81">
        <f t="shared" si="28"/>
        <v>42</v>
      </c>
      <c r="D130" s="82">
        <f>'KW 42'!$N$33</f>
        <v>0</v>
      </c>
      <c r="I130" s="79">
        <f t="shared" si="34"/>
        <v>44523</v>
      </c>
      <c r="J130" s="80">
        <f t="shared" si="29"/>
        <v>44523</v>
      </c>
      <c r="K130" s="81">
        <f t="shared" si="30"/>
        <v>47</v>
      </c>
      <c r="L130" s="82">
        <f>'KW 47'!$F$33</f>
        <v>0</v>
      </c>
      <c r="Q130" s="79">
        <f t="shared" si="35"/>
        <v>44553</v>
      </c>
      <c r="R130" s="80">
        <f t="shared" si="31"/>
        <v>44553</v>
      </c>
      <c r="S130" s="81">
        <f t="shared" si="32"/>
        <v>51</v>
      </c>
      <c r="T130" s="82">
        <f>'KW 51'!$J$33</f>
        <v>0</v>
      </c>
    </row>
    <row r="131" spans="1:20" x14ac:dyDescent="0.3">
      <c r="A131" s="79">
        <f t="shared" si="33"/>
        <v>44493</v>
      </c>
      <c r="B131" s="80">
        <f t="shared" si="27"/>
        <v>44493</v>
      </c>
      <c r="C131" s="81">
        <f t="shared" si="28"/>
        <v>42</v>
      </c>
      <c r="D131" s="82">
        <f>'KW 42'!$P$33</f>
        <v>0</v>
      </c>
      <c r="I131" s="79">
        <f t="shared" si="34"/>
        <v>44524</v>
      </c>
      <c r="J131" s="80">
        <f t="shared" si="29"/>
        <v>44524</v>
      </c>
      <c r="K131" s="81">
        <f t="shared" si="30"/>
        <v>47</v>
      </c>
      <c r="L131" s="82">
        <f>'KW 47'!$H$33</f>
        <v>0</v>
      </c>
      <c r="Q131" s="79">
        <f t="shared" si="35"/>
        <v>44554</v>
      </c>
      <c r="R131" s="80">
        <f t="shared" si="31"/>
        <v>44554</v>
      </c>
      <c r="S131" s="81">
        <f t="shared" si="32"/>
        <v>51</v>
      </c>
      <c r="T131" s="82">
        <f>'KW 51'!$L$33</f>
        <v>0</v>
      </c>
    </row>
    <row r="132" spans="1:20" x14ac:dyDescent="0.3">
      <c r="A132" s="79">
        <f t="shared" si="33"/>
        <v>44494</v>
      </c>
      <c r="B132" s="80">
        <f t="shared" si="27"/>
        <v>44494</v>
      </c>
      <c r="C132" s="81">
        <f t="shared" si="28"/>
        <v>43</v>
      </c>
      <c r="D132" s="82">
        <f>'KW 43'!$D$33</f>
        <v>0</v>
      </c>
      <c r="I132" s="79">
        <f t="shared" si="34"/>
        <v>44525</v>
      </c>
      <c r="J132" s="80">
        <f t="shared" si="29"/>
        <v>44525</v>
      </c>
      <c r="K132" s="81">
        <f t="shared" si="30"/>
        <v>47</v>
      </c>
      <c r="L132" s="82">
        <f>'KW 47'!$J$33</f>
        <v>0</v>
      </c>
      <c r="Q132" s="79">
        <f t="shared" si="35"/>
        <v>44555</v>
      </c>
      <c r="R132" s="80">
        <f t="shared" si="31"/>
        <v>44555</v>
      </c>
      <c r="S132" s="81">
        <f t="shared" si="32"/>
        <v>51</v>
      </c>
      <c r="T132" s="82">
        <f>'KW 51'!$N$33</f>
        <v>0</v>
      </c>
    </row>
    <row r="133" spans="1:20" x14ac:dyDescent="0.3">
      <c r="A133" s="79">
        <f t="shared" si="33"/>
        <v>44495</v>
      </c>
      <c r="B133" s="80">
        <f t="shared" si="27"/>
        <v>44495</v>
      </c>
      <c r="C133" s="81">
        <f t="shared" si="28"/>
        <v>43</v>
      </c>
      <c r="D133" s="82">
        <f>'KW 43'!$F$33</f>
        <v>0</v>
      </c>
      <c r="I133" s="79">
        <f t="shared" si="34"/>
        <v>44526</v>
      </c>
      <c r="J133" s="80">
        <f t="shared" si="29"/>
        <v>44526</v>
      </c>
      <c r="K133" s="81">
        <f t="shared" si="30"/>
        <v>47</v>
      </c>
      <c r="L133" s="82">
        <f>'KW 47'!$L$33</f>
        <v>0</v>
      </c>
      <c r="Q133" s="79">
        <f t="shared" si="35"/>
        <v>44556</v>
      </c>
      <c r="R133" s="80">
        <f t="shared" si="31"/>
        <v>44556</v>
      </c>
      <c r="S133" s="81">
        <f t="shared" si="32"/>
        <v>51</v>
      </c>
      <c r="T133" s="82">
        <f>'KW 51'!$P$33</f>
        <v>0</v>
      </c>
    </row>
    <row r="134" spans="1:20" x14ac:dyDescent="0.3">
      <c r="A134" s="79">
        <f t="shared" si="33"/>
        <v>44496</v>
      </c>
      <c r="B134" s="80">
        <f t="shared" si="27"/>
        <v>44496</v>
      </c>
      <c r="C134" s="81">
        <f t="shared" si="28"/>
        <v>43</v>
      </c>
      <c r="D134" s="82">
        <f>'KW 43'!$H$33</f>
        <v>0</v>
      </c>
      <c r="I134" s="79">
        <f t="shared" si="34"/>
        <v>44527</v>
      </c>
      <c r="J134" s="80">
        <f t="shared" si="29"/>
        <v>44527</v>
      </c>
      <c r="K134" s="81">
        <f t="shared" si="30"/>
        <v>47</v>
      </c>
      <c r="L134" s="82">
        <f>'KW 47'!$N$33</f>
        <v>0</v>
      </c>
      <c r="Q134" s="79">
        <f t="shared" si="35"/>
        <v>44557</v>
      </c>
      <c r="R134" s="80">
        <f t="shared" si="31"/>
        <v>44557</v>
      </c>
      <c r="S134" s="81">
        <f t="shared" si="32"/>
        <v>52</v>
      </c>
      <c r="T134" s="82">
        <f>'KW 52'!$D$33</f>
        <v>0</v>
      </c>
    </row>
    <row r="135" spans="1:20" x14ac:dyDescent="0.3">
      <c r="A135" s="79">
        <f t="shared" si="33"/>
        <v>44497</v>
      </c>
      <c r="B135" s="80">
        <f t="shared" si="27"/>
        <v>44497</v>
      </c>
      <c r="C135" s="81">
        <f t="shared" si="28"/>
        <v>43</v>
      </c>
      <c r="D135" s="82">
        <f>'KW 43'!$J$33</f>
        <v>0</v>
      </c>
      <c r="I135" s="79">
        <f t="shared" si="34"/>
        <v>44528</v>
      </c>
      <c r="J135" s="80">
        <f t="shared" si="29"/>
        <v>44528</v>
      </c>
      <c r="K135" s="81">
        <f t="shared" si="30"/>
        <v>47</v>
      </c>
      <c r="L135" s="82">
        <f>'KW 47'!$P$33</f>
        <v>0</v>
      </c>
      <c r="Q135" s="79">
        <f t="shared" si="35"/>
        <v>44558</v>
      </c>
      <c r="R135" s="80">
        <f t="shared" si="31"/>
        <v>44558</v>
      </c>
      <c r="S135" s="81">
        <f t="shared" si="32"/>
        <v>52</v>
      </c>
      <c r="T135" s="82">
        <f>'KW 52'!$F$33</f>
        <v>0</v>
      </c>
    </row>
    <row r="136" spans="1:20" x14ac:dyDescent="0.3">
      <c r="A136" s="79">
        <f t="shared" si="33"/>
        <v>44498</v>
      </c>
      <c r="B136" s="80">
        <f t="shared" si="27"/>
        <v>44498</v>
      </c>
      <c r="C136" s="81">
        <f t="shared" si="28"/>
        <v>43</v>
      </c>
      <c r="D136" s="82">
        <f>'KW 43'!$L$33</f>
        <v>0</v>
      </c>
      <c r="I136" s="79">
        <f t="shared" si="34"/>
        <v>44529</v>
      </c>
      <c r="J136" s="80">
        <f t="shared" si="29"/>
        <v>44529</v>
      </c>
      <c r="K136" s="81">
        <f t="shared" si="30"/>
        <v>48</v>
      </c>
      <c r="L136" s="82">
        <f>IF(I136="","",'KW 48'!$D$33)</f>
        <v>0</v>
      </c>
      <c r="Q136" s="79">
        <f t="shared" si="35"/>
        <v>44559</v>
      </c>
      <c r="R136" s="80">
        <f t="shared" si="31"/>
        <v>44559</v>
      </c>
      <c r="S136" s="81">
        <f t="shared" si="32"/>
        <v>52</v>
      </c>
      <c r="T136" s="82">
        <f>'KW 52'!$H$33</f>
        <v>0</v>
      </c>
    </row>
    <row r="137" spans="1:20" x14ac:dyDescent="0.3">
      <c r="A137" s="79">
        <f t="shared" si="33"/>
        <v>44499</v>
      </c>
      <c r="B137" s="80">
        <f t="shared" si="27"/>
        <v>44499</v>
      </c>
      <c r="C137" s="81">
        <f t="shared" si="28"/>
        <v>43</v>
      </c>
      <c r="D137" s="82">
        <f>'KW 43'!$N$33</f>
        <v>0</v>
      </c>
      <c r="I137" s="79">
        <f t="shared" si="34"/>
        <v>44530</v>
      </c>
      <c r="J137" s="80">
        <f t="shared" si="29"/>
        <v>44530</v>
      </c>
      <c r="K137" s="81">
        <f t="shared" si="30"/>
        <v>48</v>
      </c>
      <c r="L137" s="82">
        <f>IF(I137="","",'KW 48'!$F$33)</f>
        <v>0</v>
      </c>
      <c r="Q137" s="79">
        <f t="shared" si="35"/>
        <v>44560</v>
      </c>
      <c r="R137" s="80">
        <f t="shared" si="31"/>
        <v>44560</v>
      </c>
      <c r="S137" s="81">
        <f t="shared" si="32"/>
        <v>52</v>
      </c>
      <c r="T137" s="82">
        <f>'KW 52'!$J$33</f>
        <v>0</v>
      </c>
    </row>
    <row r="138" spans="1:20" ht="15" thickBot="1" x14ac:dyDescent="0.35">
      <c r="A138" s="79">
        <f t="shared" si="33"/>
        <v>44500</v>
      </c>
      <c r="B138" s="85">
        <f t="shared" si="27"/>
        <v>44500</v>
      </c>
      <c r="C138" s="86">
        <f t="shared" si="28"/>
        <v>43</v>
      </c>
      <c r="D138" s="82">
        <f>'KW 43'!$P$33</f>
        <v>0</v>
      </c>
      <c r="I138" s="79" t="str">
        <f t="shared" si="34"/>
        <v/>
      </c>
      <c r="J138" s="85" t="str">
        <f t="shared" si="29"/>
        <v/>
      </c>
      <c r="K138" s="86" t="str">
        <f t="shared" si="30"/>
        <v/>
      </c>
      <c r="L138" s="87" t="str">
        <f>IF(I138="","",'KW 48'!$H$33)</f>
        <v/>
      </c>
      <c r="Q138" s="79">
        <f t="shared" si="35"/>
        <v>44561</v>
      </c>
      <c r="R138" s="85">
        <f t="shared" si="31"/>
        <v>44561</v>
      </c>
      <c r="S138" s="86">
        <f t="shared" si="32"/>
        <v>52</v>
      </c>
      <c r="T138" s="82">
        <f>'KW 52'!$L$33</f>
        <v>0</v>
      </c>
    </row>
    <row r="139" spans="1:20" ht="15" thickTop="1" x14ac:dyDescent="0.3">
      <c r="C139" s="1" t="s">
        <v>77</v>
      </c>
      <c r="D139" s="59">
        <f>SUM(D108:D138)</f>
        <v>0</v>
      </c>
      <c r="K139" s="1" t="s">
        <v>78</v>
      </c>
      <c r="L139" s="59">
        <f>SUM(L108:L138)</f>
        <v>0</v>
      </c>
      <c r="S139" s="1" t="s">
        <v>79</v>
      </c>
      <c r="T139" s="59">
        <f>SUM(T108:T138)</f>
        <v>0</v>
      </c>
    </row>
  </sheetData>
  <sheetProtection selectLockedCells="1"/>
  <conditionalFormatting sqref="A3:D33">
    <cfRule type="expression" dxfId="900" priority="81">
      <formula>WEEKDAY($B3,2)&gt;5</formula>
    </cfRule>
  </conditionalFormatting>
  <conditionalFormatting sqref="I3:L33">
    <cfRule type="expression" dxfId="899" priority="80">
      <formula>WEEKDAY($J3,2)&gt;5</formula>
    </cfRule>
  </conditionalFormatting>
  <conditionalFormatting sqref="A68:D68 A38:C67">
    <cfRule type="expression" dxfId="898" priority="73">
      <formula>WEEKDAY($B38,2)&gt;5</formula>
    </cfRule>
  </conditionalFormatting>
  <conditionalFormatting sqref="I73:L103">
    <cfRule type="expression" dxfId="897" priority="64">
      <formula>WEEKDAY($J73,2)&gt;5</formula>
    </cfRule>
  </conditionalFormatting>
  <conditionalFormatting sqref="A108:D138">
    <cfRule type="expression" dxfId="896" priority="57">
      <formula>WEEKDAY($B108,2)&gt;5</formula>
    </cfRule>
  </conditionalFormatting>
  <conditionalFormatting sqref="I108:L138">
    <cfRule type="expression" dxfId="895" priority="56">
      <formula>WEEKDAY($J108,2)&gt;5</formula>
    </cfRule>
  </conditionalFormatting>
  <conditionalFormatting sqref="Q3:T33">
    <cfRule type="expression" dxfId="894" priority="49">
      <formula>WEEKDAY($R3,2)&gt;5</formula>
    </cfRule>
  </conditionalFormatting>
  <conditionalFormatting sqref="D38">
    <cfRule type="expression" dxfId="893" priority="48">
      <formula>WEEKDAY($B38,2)&gt;5</formula>
    </cfRule>
  </conditionalFormatting>
  <conditionalFormatting sqref="D39">
    <cfRule type="expression" dxfId="892" priority="47">
      <formula>WEEKDAY($B39,2)&gt;5</formula>
    </cfRule>
  </conditionalFormatting>
  <conditionalFormatting sqref="D40:D41">
    <cfRule type="expression" dxfId="891" priority="46">
      <formula>WEEKDAY($B40,2)&gt;5</formula>
    </cfRule>
  </conditionalFormatting>
  <conditionalFormatting sqref="D42:D48">
    <cfRule type="expression" dxfId="890" priority="45">
      <formula>WEEKDAY($B42,2)&gt;5</formula>
    </cfRule>
  </conditionalFormatting>
  <conditionalFormatting sqref="D49:D55">
    <cfRule type="expression" dxfId="889" priority="44">
      <formula>WEEKDAY($B49,2)&gt;5</formula>
    </cfRule>
  </conditionalFormatting>
  <conditionalFormatting sqref="D56:D62">
    <cfRule type="expression" dxfId="888" priority="43">
      <formula>WEEKDAY($B56,2)&gt;5</formula>
    </cfRule>
  </conditionalFormatting>
  <conditionalFormatting sqref="D63:D67">
    <cfRule type="expression" dxfId="887" priority="42">
      <formula>WEEKDAY($B63,2)&gt;5</formula>
    </cfRule>
  </conditionalFormatting>
  <conditionalFormatting sqref="I38:L68">
    <cfRule type="expression" dxfId="886" priority="35">
      <formula>WEEKDAY($J38,2)&gt;5</formula>
    </cfRule>
  </conditionalFormatting>
  <conditionalFormatting sqref="Q38:T68">
    <cfRule type="expression" dxfId="885" priority="22">
      <formula>WEEKDAY($R38,2)&gt;5</formula>
    </cfRule>
  </conditionalFormatting>
  <conditionalFormatting sqref="A73:D103">
    <cfRule type="expression" dxfId="884" priority="13">
      <formula>WEEKDAY($B73,2)&gt;5</formula>
    </cfRule>
  </conditionalFormatting>
  <conditionalFormatting sqref="Q73:T103">
    <cfRule type="expression" dxfId="883" priority="7">
      <formula>WEEKDAY($R73,2)&gt;5</formula>
    </cfRule>
  </conditionalFormatting>
  <conditionalFormatting sqref="Q108:T138">
    <cfRule type="expression" dxfId="882" priority="1">
      <formula>WEEKDAY($Q108,2)&gt;5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U37"/>
  <sheetViews>
    <sheetView workbookViewId="0">
      <selection activeCell="C3" sqref="C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1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>Tag der Arbeit</v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77" t="s">
        <v>20</v>
      </c>
      <c r="B3" s="181" t="s">
        <v>21</v>
      </c>
      <c r="C3" s="91">
        <f>'KW 1'!$C$3+112</f>
        <v>44312</v>
      </c>
      <c r="D3" s="92">
        <f>C3</f>
        <v>44312</v>
      </c>
      <c r="E3" s="91">
        <f>C3+1</f>
        <v>44313</v>
      </c>
      <c r="F3" s="92">
        <f>E3</f>
        <v>44313</v>
      </c>
      <c r="G3" s="91">
        <f>C3+2</f>
        <v>44314</v>
      </c>
      <c r="H3" s="92">
        <f>G3</f>
        <v>44314</v>
      </c>
      <c r="I3" s="91">
        <f>C3+3</f>
        <v>44315</v>
      </c>
      <c r="J3" s="92">
        <f>I3</f>
        <v>44315</v>
      </c>
      <c r="K3" s="91">
        <f>C3+4</f>
        <v>44316</v>
      </c>
      <c r="L3" s="92">
        <f>K3</f>
        <v>44316</v>
      </c>
      <c r="M3" s="91">
        <f>C3+5</f>
        <v>44317</v>
      </c>
      <c r="N3" s="92">
        <f>M3</f>
        <v>44317</v>
      </c>
      <c r="O3" s="91">
        <f>C3+6</f>
        <v>44318</v>
      </c>
      <c r="P3" s="92">
        <f>O3</f>
        <v>44318</v>
      </c>
      <c r="Q3" s="14" t="s">
        <v>0</v>
      </c>
      <c r="R3" s="15" t="s">
        <v>0</v>
      </c>
      <c r="S3" s="177" t="s">
        <v>1</v>
      </c>
      <c r="T3" s="177" t="s">
        <v>2</v>
      </c>
      <c r="U3" s="175" t="s">
        <v>4</v>
      </c>
    </row>
    <row r="4" spans="1:21" ht="15" thickBot="1" x14ac:dyDescent="0.35">
      <c r="A4" s="178"/>
      <c r="B4" s="182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76"/>
    </row>
    <row r="5" spans="1:21" x14ac:dyDescent="0.3">
      <c r="A5" s="19" t="str">
        <f>Start!A5</f>
        <v>Postbearbeitung Bestand</v>
      </c>
      <c r="B5" s="134">
        <f>'KW 16'!S5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5">
        <f>'KW 16'!S6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6">
        <f>'KW 16'!S7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5">
        <f>'KW 16'!S9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5">
        <f>'KW 16'!S10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5">
        <f>'KW 16'!S11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5">
        <f>'KW 16'!S12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5">
        <f>'KW 16'!S14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" thickBot="1" x14ac:dyDescent="0.35">
      <c r="A15" s="29" t="str">
        <f>Start!A15</f>
        <v>Einfachaufträge</v>
      </c>
      <c r="B15" s="135">
        <f>'KW 16'!S15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5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5">
        <f>'KW 16'!S17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39">
        <f>'KW 16'!S20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4">
        <f>'KW 16'!S22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5">
        <f>'KW 16'!S23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6">
        <f>'KW 16'!S24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4">
        <f>'KW 16'!S26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5">
        <f>'KW 16'!S27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6">
        <f>'KW 16'!S28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39">
        <f>'KW 16'!S30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4">
        <f>'KW 16'!S35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551" priority="12">
      <formula>Wochetag($C$3:$P$3,2)&gt;5</formula>
    </cfRule>
  </conditionalFormatting>
  <conditionalFormatting sqref="K25:L25 K29:L29">
    <cfRule type="expression" dxfId="550" priority="11">
      <formula>Wochetag($C$3:$P$3,2)&gt;5</formula>
    </cfRule>
  </conditionalFormatting>
  <conditionalFormatting sqref="C25:J25 C29:J29">
    <cfRule type="expression" dxfId="549" priority="10">
      <formula>Wochetag($C$3:$P$3,2)&gt;5</formula>
    </cfRule>
  </conditionalFormatting>
  <conditionalFormatting sqref="M29:P29">
    <cfRule type="expression" dxfId="548" priority="9">
      <formula>Wochetag($C$3:$P$3,2)&gt;5</formula>
    </cfRule>
  </conditionalFormatting>
  <conditionalFormatting sqref="M11:P11">
    <cfRule type="expression" dxfId="547" priority="8">
      <formula>Wochetag($C$3:$P$3,2)&gt;5</formula>
    </cfRule>
  </conditionalFormatting>
  <conditionalFormatting sqref="C9:L12">
    <cfRule type="expression" dxfId="546" priority="7">
      <formula>Wochetag($C$3:$P$3,2)&gt;5</formula>
    </cfRule>
  </conditionalFormatting>
  <conditionalFormatting sqref="C14:L15">
    <cfRule type="expression" dxfId="545" priority="6">
      <formula>Wochetag($C$3:$P$3,2)&gt;5</formula>
    </cfRule>
  </conditionalFormatting>
  <conditionalFormatting sqref="C17:L17">
    <cfRule type="expression" dxfId="544" priority="5">
      <formula>Wochetag($C$3:$P$3,2)&gt;5</formula>
    </cfRule>
  </conditionalFormatting>
  <conditionalFormatting sqref="C20:L20">
    <cfRule type="expression" dxfId="543" priority="4">
      <formula>Wochetag($C$3:$P$3,2)&gt;5</formula>
    </cfRule>
  </conditionalFormatting>
  <conditionalFormatting sqref="C22:L24">
    <cfRule type="expression" dxfId="542" priority="3">
      <formula>Wochetag($C$3:$P$3,2)&gt;5</formula>
    </cfRule>
  </conditionalFormatting>
  <conditionalFormatting sqref="C26:L28">
    <cfRule type="expression" dxfId="541" priority="2">
      <formula>Wochetag($C$3:$P$3,2)&gt;5</formula>
    </cfRule>
  </conditionalFormatting>
  <conditionalFormatting sqref="C30:L30">
    <cfRule type="expression" dxfId="540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U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1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77" t="s">
        <v>20</v>
      </c>
      <c r="B3" s="181" t="s">
        <v>21</v>
      </c>
      <c r="C3" s="91">
        <f>'KW 1'!$C$3+119</f>
        <v>44319</v>
      </c>
      <c r="D3" s="92">
        <f>C3</f>
        <v>44319</v>
      </c>
      <c r="E3" s="91">
        <f>C3+1</f>
        <v>44320</v>
      </c>
      <c r="F3" s="92">
        <f>E3</f>
        <v>44320</v>
      </c>
      <c r="G3" s="91">
        <f>C3+2</f>
        <v>44321</v>
      </c>
      <c r="H3" s="92">
        <f>G3</f>
        <v>44321</v>
      </c>
      <c r="I3" s="91">
        <f>C3+3</f>
        <v>44322</v>
      </c>
      <c r="J3" s="92">
        <f>I3</f>
        <v>44322</v>
      </c>
      <c r="K3" s="91">
        <f>C3+4</f>
        <v>44323</v>
      </c>
      <c r="L3" s="92">
        <f>K3</f>
        <v>44323</v>
      </c>
      <c r="M3" s="91">
        <f>C3+5</f>
        <v>44324</v>
      </c>
      <c r="N3" s="92">
        <f>M3</f>
        <v>44324</v>
      </c>
      <c r="O3" s="91">
        <f>C3+6</f>
        <v>44325</v>
      </c>
      <c r="P3" s="92">
        <f>O3</f>
        <v>44325</v>
      </c>
      <c r="Q3" s="14" t="s">
        <v>0</v>
      </c>
      <c r="R3" s="15" t="s">
        <v>0</v>
      </c>
      <c r="S3" s="177" t="s">
        <v>1</v>
      </c>
      <c r="T3" s="177" t="s">
        <v>2</v>
      </c>
      <c r="U3" s="175" t="s">
        <v>4</v>
      </c>
    </row>
    <row r="4" spans="1:21" ht="15" thickBot="1" x14ac:dyDescent="0.35">
      <c r="A4" s="178"/>
      <c r="B4" s="182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76"/>
    </row>
    <row r="5" spans="1:21" x14ac:dyDescent="0.3">
      <c r="A5" s="19" t="str">
        <f>Start!A5</f>
        <v>Postbearbeitung Bestand</v>
      </c>
      <c r="B5" s="134">
        <f>'KW 17'!S5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5">
        <f>'KW 17'!S6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6">
        <f>'KW 17'!S7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5">
        <f>'KW 17'!S9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5">
        <f>'KW 17'!S10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5">
        <f>'KW 17'!S11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5">
        <f>'KW 17'!S12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5">
        <f>'KW 17'!S14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" thickBot="1" x14ac:dyDescent="0.35">
      <c r="A15" s="29" t="str">
        <f>Start!A15</f>
        <v>Einfachaufträge</v>
      </c>
      <c r="B15" s="135">
        <f>'KW 17'!S15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5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5">
        <f>'KW 17'!S17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39">
        <f>'KW 17'!S20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4">
        <f>'KW 17'!S22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5">
        <f>'KW 17'!S23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6">
        <f>'KW 17'!S24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4">
        <f>'KW 17'!S26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5">
        <f>'KW 17'!S27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6">
        <f>'KW 17'!S28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39">
        <f>'KW 17'!S30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4">
        <f>'KW 17'!S35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539" priority="12">
      <formula>Wochetag($C$3:$P$3,2)&gt;5</formula>
    </cfRule>
  </conditionalFormatting>
  <conditionalFormatting sqref="K25:L25 K29:L29">
    <cfRule type="expression" dxfId="538" priority="11">
      <formula>Wochetag($C$3:$P$3,2)&gt;5</formula>
    </cfRule>
  </conditionalFormatting>
  <conditionalFormatting sqref="C25:J25 C29:J29">
    <cfRule type="expression" dxfId="537" priority="10">
      <formula>Wochetag($C$3:$P$3,2)&gt;5</formula>
    </cfRule>
  </conditionalFormatting>
  <conditionalFormatting sqref="M29:P29">
    <cfRule type="expression" dxfId="536" priority="9">
      <formula>Wochetag($C$3:$P$3,2)&gt;5</formula>
    </cfRule>
  </conditionalFormatting>
  <conditionalFormatting sqref="M11:P11">
    <cfRule type="expression" dxfId="535" priority="8">
      <formula>Wochetag($C$3:$P$3,2)&gt;5</formula>
    </cfRule>
  </conditionalFormatting>
  <conditionalFormatting sqref="C9:L12">
    <cfRule type="expression" dxfId="534" priority="7">
      <formula>Wochetag($C$3:$P$3,2)&gt;5</formula>
    </cfRule>
  </conditionalFormatting>
  <conditionalFormatting sqref="C14:L15">
    <cfRule type="expression" dxfId="533" priority="6">
      <formula>Wochetag($C$3:$P$3,2)&gt;5</formula>
    </cfRule>
  </conditionalFormatting>
  <conditionalFormatting sqref="C17:L17">
    <cfRule type="expression" dxfId="532" priority="5">
      <formula>Wochetag($C$3:$P$3,2)&gt;5</formula>
    </cfRule>
  </conditionalFormatting>
  <conditionalFormatting sqref="C20:L20">
    <cfRule type="expression" dxfId="531" priority="4">
      <formula>Wochetag($C$3:$P$3,2)&gt;5</formula>
    </cfRule>
  </conditionalFormatting>
  <conditionalFormatting sqref="C22:L24">
    <cfRule type="expression" dxfId="530" priority="3">
      <formula>Wochetag($C$3:$P$3,2)&gt;5</formula>
    </cfRule>
  </conditionalFormatting>
  <conditionalFormatting sqref="C26:L28">
    <cfRule type="expression" dxfId="529" priority="2">
      <formula>Wochetag($C$3:$P$3,2)&gt;5</formula>
    </cfRule>
  </conditionalFormatting>
  <conditionalFormatting sqref="C30:L30">
    <cfRule type="expression" dxfId="528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U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1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>Christi Himmelfahrt</v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77" t="s">
        <v>20</v>
      </c>
      <c r="B3" s="181" t="s">
        <v>21</v>
      </c>
      <c r="C3" s="91">
        <f>'KW 1'!$C$3+126</f>
        <v>44326</v>
      </c>
      <c r="D3" s="92">
        <f>C3</f>
        <v>44326</v>
      </c>
      <c r="E3" s="91">
        <f>C3+1</f>
        <v>44327</v>
      </c>
      <c r="F3" s="92">
        <f>E3</f>
        <v>44327</v>
      </c>
      <c r="G3" s="91">
        <f>C3+2</f>
        <v>44328</v>
      </c>
      <c r="H3" s="92">
        <f>G3</f>
        <v>44328</v>
      </c>
      <c r="I3" s="91">
        <f>C3+3</f>
        <v>44329</v>
      </c>
      <c r="J3" s="92">
        <f>I3</f>
        <v>44329</v>
      </c>
      <c r="K3" s="91">
        <f>C3+4</f>
        <v>44330</v>
      </c>
      <c r="L3" s="92">
        <f>K3</f>
        <v>44330</v>
      </c>
      <c r="M3" s="91">
        <f>C3+5</f>
        <v>44331</v>
      </c>
      <c r="N3" s="92">
        <f>M3</f>
        <v>44331</v>
      </c>
      <c r="O3" s="91">
        <f>C3+6</f>
        <v>44332</v>
      </c>
      <c r="P3" s="92">
        <f>O3</f>
        <v>44332</v>
      </c>
      <c r="Q3" s="14" t="s">
        <v>0</v>
      </c>
      <c r="R3" s="15" t="s">
        <v>0</v>
      </c>
      <c r="S3" s="177" t="s">
        <v>1</v>
      </c>
      <c r="T3" s="177" t="s">
        <v>2</v>
      </c>
      <c r="U3" s="175" t="s">
        <v>4</v>
      </c>
    </row>
    <row r="4" spans="1:21" ht="15" thickBot="1" x14ac:dyDescent="0.35">
      <c r="A4" s="178"/>
      <c r="B4" s="182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76"/>
    </row>
    <row r="5" spans="1:21" x14ac:dyDescent="0.3">
      <c r="A5" s="19" t="str">
        <f>Start!A5</f>
        <v>Postbearbeitung Bestand</v>
      </c>
      <c r="B5" s="134">
        <f>'KW 18'!S5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5">
        <f>'KW 18'!S6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6">
        <f>'KW 18'!S7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5">
        <f>'KW 18'!S9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5">
        <f>'KW 18'!S10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5">
        <f>'KW 18'!S11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5">
        <f>'KW 18'!S12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5">
        <f>'KW 18'!S14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" thickBot="1" x14ac:dyDescent="0.35">
      <c r="A15" s="29" t="str">
        <f>Start!A15</f>
        <v>Einfachaufträge</v>
      </c>
      <c r="B15" s="135">
        <f>'KW 18'!S15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5">
      <c r="A16" s="34"/>
      <c r="B16" s="138"/>
      <c r="C16" s="35"/>
      <c r="D16" s="35"/>
      <c r="E16" s="35"/>
      <c r="F16" s="35"/>
      <c r="G16" s="35"/>
      <c r="H16" s="127"/>
      <c r="I16" s="127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5">
        <f>'KW 18'!S17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1"/>
      <c r="C19" s="50"/>
      <c r="D19" s="50"/>
      <c r="E19" s="50"/>
      <c r="F19" s="50"/>
      <c r="G19" s="50"/>
      <c r="H19" s="128"/>
      <c r="I19" s="128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39">
        <f>'KW 18'!S20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4">
        <f>'KW 18'!S22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5">
        <f>'KW 18'!S23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6">
        <f>'KW 18'!S24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4">
        <f>'KW 18'!S26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5">
        <f>'KW 18'!S27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6">
        <f>'KW 18'!S28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39">
        <f>'KW 18'!S30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H32" s="129"/>
      <c r="I32" s="129"/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4">
        <f>'KW 18'!S35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527" priority="12">
      <formula>Wochetag($C$3:$P$3,2)&gt;5</formula>
    </cfRule>
  </conditionalFormatting>
  <conditionalFormatting sqref="K25:L25 K29:L29">
    <cfRule type="expression" dxfId="526" priority="11">
      <formula>Wochetag($C$3:$P$3,2)&gt;5</formula>
    </cfRule>
  </conditionalFormatting>
  <conditionalFormatting sqref="C25:J25 C29:J29">
    <cfRule type="expression" dxfId="525" priority="10">
      <formula>Wochetag($C$3:$P$3,2)&gt;5</formula>
    </cfRule>
  </conditionalFormatting>
  <conditionalFormatting sqref="M29:P29">
    <cfRule type="expression" dxfId="524" priority="9">
      <formula>Wochetag($C$3:$P$3,2)&gt;5</formula>
    </cfRule>
  </conditionalFormatting>
  <conditionalFormatting sqref="M11:P11">
    <cfRule type="expression" dxfId="523" priority="8">
      <formula>Wochetag($C$3:$P$3,2)&gt;5</formula>
    </cfRule>
  </conditionalFormatting>
  <conditionalFormatting sqref="C9:L12">
    <cfRule type="expression" dxfId="522" priority="7">
      <formula>Wochetag($C$3:$P$3,2)&gt;5</formula>
    </cfRule>
  </conditionalFormatting>
  <conditionalFormatting sqref="C14:L15">
    <cfRule type="expression" dxfId="521" priority="6">
      <formula>Wochetag($C$3:$P$3,2)&gt;5</formula>
    </cfRule>
  </conditionalFormatting>
  <conditionalFormatting sqref="C17:L17">
    <cfRule type="expression" dxfId="520" priority="5">
      <formula>Wochetag($C$3:$P$3,2)&gt;5</formula>
    </cfRule>
  </conditionalFormatting>
  <conditionalFormatting sqref="C20:L20">
    <cfRule type="expression" dxfId="519" priority="4">
      <formula>Wochetag($C$3:$P$3,2)&gt;5</formula>
    </cfRule>
  </conditionalFormatting>
  <conditionalFormatting sqref="C22:L24">
    <cfRule type="expression" dxfId="518" priority="3">
      <formula>Wochetag($C$3:$P$3,2)&gt;5</formula>
    </cfRule>
  </conditionalFormatting>
  <conditionalFormatting sqref="C26:L28">
    <cfRule type="expression" dxfId="517" priority="2">
      <formula>Wochetag($C$3:$P$3,2)&gt;5</formula>
    </cfRule>
  </conditionalFormatting>
  <conditionalFormatting sqref="C30:L30">
    <cfRule type="expression" dxfId="516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U37"/>
  <sheetViews>
    <sheetView topLeftCell="A4"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1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>Pfingstsonntag</v>
      </c>
    </row>
    <row r="3" spans="1:21" ht="15" thickBot="1" x14ac:dyDescent="0.35">
      <c r="A3" s="177" t="s">
        <v>20</v>
      </c>
      <c r="B3" s="181" t="s">
        <v>21</v>
      </c>
      <c r="C3" s="91">
        <f>'KW 1'!$C$3+133</f>
        <v>44333</v>
      </c>
      <c r="D3" s="92">
        <f>C3</f>
        <v>44333</v>
      </c>
      <c r="E3" s="91">
        <f>C3+1</f>
        <v>44334</v>
      </c>
      <c r="F3" s="92">
        <f>E3</f>
        <v>44334</v>
      </c>
      <c r="G3" s="91">
        <f>C3+2</f>
        <v>44335</v>
      </c>
      <c r="H3" s="92">
        <f>G3</f>
        <v>44335</v>
      </c>
      <c r="I3" s="91">
        <f>C3+3</f>
        <v>44336</v>
      </c>
      <c r="J3" s="92">
        <f>I3</f>
        <v>44336</v>
      </c>
      <c r="K3" s="91">
        <f>C3+4</f>
        <v>44337</v>
      </c>
      <c r="L3" s="92">
        <f>K3</f>
        <v>44337</v>
      </c>
      <c r="M3" s="91">
        <f>C3+5</f>
        <v>44338</v>
      </c>
      <c r="N3" s="92">
        <f>M3</f>
        <v>44338</v>
      </c>
      <c r="O3" s="91">
        <f>C3+6</f>
        <v>44339</v>
      </c>
      <c r="P3" s="92">
        <f>O3</f>
        <v>44339</v>
      </c>
      <c r="Q3" s="14" t="s">
        <v>0</v>
      </c>
      <c r="R3" s="15" t="s">
        <v>0</v>
      </c>
      <c r="S3" s="177" t="s">
        <v>1</v>
      </c>
      <c r="T3" s="177" t="s">
        <v>2</v>
      </c>
      <c r="U3" s="175" t="s">
        <v>4</v>
      </c>
    </row>
    <row r="4" spans="1:21" ht="15" thickBot="1" x14ac:dyDescent="0.35">
      <c r="A4" s="178"/>
      <c r="B4" s="182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76"/>
    </row>
    <row r="5" spans="1:21" x14ac:dyDescent="0.3">
      <c r="A5" s="19" t="str">
        <f>Start!A5</f>
        <v>Postbearbeitung Bestand</v>
      </c>
      <c r="B5" s="134">
        <f>'KW 19'!S5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5">
        <f>'KW 19'!S6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6">
        <f>'KW 19'!S7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5">
        <f>'KW 19'!S9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5">
        <f>'KW 19'!S10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5">
        <f>'KW 19'!S11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5">
        <f>'KW 19'!S12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5">
        <f>'KW 19'!S14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" thickBot="1" x14ac:dyDescent="0.35">
      <c r="A15" s="29" t="str">
        <f>Start!A15</f>
        <v>Einfachaufträge</v>
      </c>
      <c r="B15" s="135">
        <f>'KW 19'!S15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5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5">
        <f>'KW 19'!S17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39">
        <f>'KW 19'!S20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4">
        <f>'KW 19'!S22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5">
        <f>'KW 19'!S23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6">
        <f>'KW 19'!S24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4">
        <f>'KW 19'!S26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5">
        <f>'KW 19'!S27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6">
        <f>'KW 19'!S28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39">
        <f>'KW 19'!S30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4">
        <f>'KW 19'!S35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515" priority="12">
      <formula>Wochetag($C$3:$P$3,2)&gt;5</formula>
    </cfRule>
  </conditionalFormatting>
  <conditionalFormatting sqref="K25:L25 K29:L29">
    <cfRule type="expression" dxfId="514" priority="11">
      <formula>Wochetag($C$3:$P$3,2)&gt;5</formula>
    </cfRule>
  </conditionalFormatting>
  <conditionalFormatting sqref="C25:J25 C29:J29">
    <cfRule type="expression" dxfId="513" priority="10">
      <formula>Wochetag($C$3:$P$3,2)&gt;5</formula>
    </cfRule>
  </conditionalFormatting>
  <conditionalFormatting sqref="M29:P29">
    <cfRule type="expression" dxfId="512" priority="9">
      <formula>Wochetag($C$3:$P$3,2)&gt;5</formula>
    </cfRule>
  </conditionalFormatting>
  <conditionalFormatting sqref="M11:P11">
    <cfRule type="expression" dxfId="511" priority="8">
      <formula>Wochetag($C$3:$P$3,2)&gt;5</formula>
    </cfRule>
  </conditionalFormatting>
  <conditionalFormatting sqref="C9:L12">
    <cfRule type="expression" dxfId="510" priority="7">
      <formula>Wochetag($C$3:$P$3,2)&gt;5</formula>
    </cfRule>
  </conditionalFormatting>
  <conditionalFormatting sqref="C14:L15">
    <cfRule type="expression" dxfId="509" priority="6">
      <formula>Wochetag($C$3:$P$3,2)&gt;5</formula>
    </cfRule>
  </conditionalFormatting>
  <conditionalFormatting sqref="C17:L17">
    <cfRule type="expression" dxfId="508" priority="5">
      <formula>Wochetag($C$3:$P$3,2)&gt;5</formula>
    </cfRule>
  </conditionalFormatting>
  <conditionalFormatting sqref="C20:L20">
    <cfRule type="expression" dxfId="507" priority="4">
      <formula>Wochetag($C$3:$P$3,2)&gt;5</formula>
    </cfRule>
  </conditionalFormatting>
  <conditionalFormatting sqref="C22:L24">
    <cfRule type="expression" dxfId="506" priority="3">
      <formula>Wochetag($C$3:$P$3,2)&gt;5</formula>
    </cfRule>
  </conditionalFormatting>
  <conditionalFormatting sqref="C26:L28">
    <cfRule type="expression" dxfId="505" priority="2">
      <formula>Wochetag($C$3:$P$3,2)&gt;5</formula>
    </cfRule>
  </conditionalFormatting>
  <conditionalFormatting sqref="C30:L30">
    <cfRule type="expression" dxfId="504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/>
  <dimension ref="A1:U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1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C2" s="122">
        <f>YEAR(C3)</f>
        <v>2021</v>
      </c>
      <c r="D2" s="119" t="str">
        <f>IFERROR(VLOOKUP(C3,Start!$F$2:$G$22,2,0),"")</f>
        <v>Pfingstmontag</v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77" t="s">
        <v>20</v>
      </c>
      <c r="B3" s="181" t="s">
        <v>21</v>
      </c>
      <c r="C3" s="91">
        <f>'KW 1'!$C$3+140</f>
        <v>44340</v>
      </c>
      <c r="D3" s="92">
        <f>C3</f>
        <v>44340</v>
      </c>
      <c r="E3" s="91">
        <f>C3+1</f>
        <v>44341</v>
      </c>
      <c r="F3" s="92">
        <f>E3</f>
        <v>44341</v>
      </c>
      <c r="G3" s="91">
        <f>C3+2</f>
        <v>44342</v>
      </c>
      <c r="H3" s="92">
        <f>G3</f>
        <v>44342</v>
      </c>
      <c r="I3" s="91">
        <f>C3+3</f>
        <v>44343</v>
      </c>
      <c r="J3" s="92">
        <f>I3</f>
        <v>44343</v>
      </c>
      <c r="K3" s="91">
        <f>C3+4</f>
        <v>44344</v>
      </c>
      <c r="L3" s="92">
        <f>K3</f>
        <v>44344</v>
      </c>
      <c r="M3" s="91">
        <f>C3+5</f>
        <v>44345</v>
      </c>
      <c r="N3" s="92">
        <f>M3</f>
        <v>44345</v>
      </c>
      <c r="O3" s="91">
        <f>C3+6</f>
        <v>44346</v>
      </c>
      <c r="P3" s="92">
        <f>O3</f>
        <v>44346</v>
      </c>
      <c r="Q3" s="14" t="s">
        <v>0</v>
      </c>
      <c r="R3" s="15" t="s">
        <v>0</v>
      </c>
      <c r="S3" s="177" t="s">
        <v>1</v>
      </c>
      <c r="T3" s="177" t="s">
        <v>2</v>
      </c>
      <c r="U3" s="175" t="s">
        <v>4</v>
      </c>
    </row>
    <row r="4" spans="1:21" ht="15" thickBot="1" x14ac:dyDescent="0.35">
      <c r="A4" s="178"/>
      <c r="B4" s="182"/>
      <c r="C4" s="17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76"/>
    </row>
    <row r="5" spans="1:21" x14ac:dyDescent="0.3">
      <c r="A5" s="19" t="str">
        <f>Start!A5</f>
        <v>Postbearbeitung Bestand</v>
      </c>
      <c r="B5" s="134">
        <f>'KW 20'!S5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5">
        <f>'KW 20'!S6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6">
        <f>'KW 20'!S7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5">
        <f>'KW 20'!S9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5">
        <f>'KW 20'!S10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5">
        <f>'KW 20'!S11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5">
        <f>'KW 20'!S12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38"/>
      <c r="C13" s="38"/>
      <c r="D13" s="38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5">
        <f>'KW 20'!S14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" thickBot="1" x14ac:dyDescent="0.35">
      <c r="A15" s="29" t="str">
        <f>Start!A15</f>
        <v>Einfachaufträge</v>
      </c>
      <c r="B15" s="135">
        <f>'KW 20'!S15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5">
      <c r="A16" s="34"/>
      <c r="B16" s="138"/>
      <c r="C16" s="127"/>
      <c r="D16" s="127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5">
        <f>'KW 20'!S17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1"/>
      <c r="C19" s="128"/>
      <c r="D19" s="128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39">
        <f>'KW 20'!S20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4">
        <f>'KW 20'!S22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5">
        <f>'KW 20'!S23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6">
        <f>'KW 20'!S24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4">
        <f>'KW 20'!S26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5">
        <f>'KW 20'!S27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6">
        <f>'KW 20'!S28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39">
        <f>'KW 20'!S30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C32" s="129"/>
      <c r="D32" s="129"/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4">
        <f>'KW 20'!S35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503" priority="12">
      <formula>Wochetag($C$3:$P$3,2)&gt;5</formula>
    </cfRule>
  </conditionalFormatting>
  <conditionalFormatting sqref="K25:L25 K29:L29">
    <cfRule type="expression" dxfId="502" priority="11">
      <formula>Wochetag($C$3:$P$3,2)&gt;5</formula>
    </cfRule>
  </conditionalFormatting>
  <conditionalFormatting sqref="C25:J25 E29:J29">
    <cfRule type="expression" dxfId="501" priority="10">
      <formula>Wochetag($C$3:$P$3,2)&gt;5</formula>
    </cfRule>
  </conditionalFormatting>
  <conditionalFormatting sqref="M29:P29">
    <cfRule type="expression" dxfId="500" priority="9">
      <formula>Wochetag($C$3:$P$3,2)&gt;5</formula>
    </cfRule>
  </conditionalFormatting>
  <conditionalFormatting sqref="M11:P11">
    <cfRule type="expression" dxfId="499" priority="8">
      <formula>Wochetag($C$3:$P$3,2)&gt;5</formula>
    </cfRule>
  </conditionalFormatting>
  <conditionalFormatting sqref="C9:L12">
    <cfRule type="expression" dxfId="498" priority="7">
      <formula>Wochetag($C$3:$P$3,2)&gt;5</formula>
    </cfRule>
  </conditionalFormatting>
  <conditionalFormatting sqref="C14:L15">
    <cfRule type="expression" dxfId="497" priority="6">
      <formula>Wochetag($C$3:$P$3,2)&gt;5</formula>
    </cfRule>
  </conditionalFormatting>
  <conditionalFormatting sqref="C17:L17">
    <cfRule type="expression" dxfId="496" priority="5">
      <formula>Wochetag($C$3:$P$3,2)&gt;5</formula>
    </cfRule>
  </conditionalFormatting>
  <conditionalFormatting sqref="C20:L20">
    <cfRule type="expression" dxfId="495" priority="4">
      <formula>Wochetag($C$3:$P$3,2)&gt;5</formula>
    </cfRule>
  </conditionalFormatting>
  <conditionalFormatting sqref="C22:L24">
    <cfRule type="expression" dxfId="494" priority="3">
      <formula>Wochetag($C$3:$P$3,2)&gt;5</formula>
    </cfRule>
  </conditionalFormatting>
  <conditionalFormatting sqref="C26:L28">
    <cfRule type="expression" dxfId="493" priority="2">
      <formula>Wochetag($C$3:$P$3,2)&gt;5</formula>
    </cfRule>
  </conditionalFormatting>
  <conditionalFormatting sqref="C30:L30">
    <cfRule type="expression" dxfId="492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/>
  <dimension ref="A1:U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1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>Fronleichnam</v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77" t="s">
        <v>20</v>
      </c>
      <c r="B3" s="181" t="s">
        <v>21</v>
      </c>
      <c r="C3" s="91">
        <f>'KW 1'!$C$3+147</f>
        <v>44347</v>
      </c>
      <c r="D3" s="92">
        <f>C3</f>
        <v>44347</v>
      </c>
      <c r="E3" s="91">
        <f>C3+1</f>
        <v>44348</v>
      </c>
      <c r="F3" s="92">
        <f>E3</f>
        <v>44348</v>
      </c>
      <c r="G3" s="91">
        <f>C3+2</f>
        <v>44349</v>
      </c>
      <c r="H3" s="92">
        <f>G3</f>
        <v>44349</v>
      </c>
      <c r="I3" s="92">
        <f>C3+3</f>
        <v>44350</v>
      </c>
      <c r="J3" s="92">
        <f>I3</f>
        <v>44350</v>
      </c>
      <c r="K3" s="91">
        <f>C3+4</f>
        <v>44351</v>
      </c>
      <c r="L3" s="92">
        <f>K3</f>
        <v>44351</v>
      </c>
      <c r="M3" s="91">
        <f>C3+5</f>
        <v>44352</v>
      </c>
      <c r="N3" s="92">
        <f>M3</f>
        <v>44352</v>
      </c>
      <c r="O3" s="91">
        <f>C3+6</f>
        <v>44353</v>
      </c>
      <c r="P3" s="92">
        <f>O3</f>
        <v>44353</v>
      </c>
      <c r="Q3" s="14" t="s">
        <v>0</v>
      </c>
      <c r="R3" s="15" t="s">
        <v>0</v>
      </c>
      <c r="S3" s="177" t="s">
        <v>1</v>
      </c>
      <c r="T3" s="177" t="s">
        <v>2</v>
      </c>
      <c r="U3" s="175" t="s">
        <v>4</v>
      </c>
    </row>
    <row r="4" spans="1:21" ht="15" thickBot="1" x14ac:dyDescent="0.35">
      <c r="A4" s="178"/>
      <c r="B4" s="182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76"/>
    </row>
    <row r="5" spans="1:21" x14ac:dyDescent="0.3">
      <c r="A5" s="19" t="str">
        <f>Start!A5</f>
        <v>Postbearbeitung Bestand</v>
      </c>
      <c r="B5" s="134">
        <f>'KW 21'!S5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5">
        <f>'KW 21'!S6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6">
        <f>'KW 21'!S7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5">
        <f>'KW 21'!S9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5">
        <f>'KW 21'!S10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5">
        <f>'KW 21'!S11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5">
        <f>'KW 21'!S12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5">
        <f>'KW 21'!S14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" thickBot="1" x14ac:dyDescent="0.35">
      <c r="A15" s="29" t="str">
        <f>Start!A15</f>
        <v>Einfachaufträge</v>
      </c>
      <c r="B15" s="135">
        <f>'KW 21'!S15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5">
      <c r="A16" s="34"/>
      <c r="B16" s="138"/>
      <c r="C16" s="35"/>
      <c r="D16" s="35"/>
      <c r="E16" s="35"/>
      <c r="F16" s="35"/>
      <c r="G16" s="35"/>
      <c r="H16" s="35"/>
      <c r="I16" s="127"/>
      <c r="J16" s="127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5">
        <f>'KW 21'!S17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1"/>
      <c r="C19" s="50"/>
      <c r="D19" s="50"/>
      <c r="E19" s="50"/>
      <c r="F19" s="50"/>
      <c r="G19" s="50"/>
      <c r="H19" s="50"/>
      <c r="I19" s="128"/>
      <c r="J19" s="128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39">
        <f>'KW 21'!S20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4">
        <f>'KW 21'!S22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5">
        <f>'KW 21'!S23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6">
        <f>'KW 21'!S24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4">
        <f>'KW 21'!S26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5">
        <f>'KW 21'!S27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6">
        <f>'KW 21'!S28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39">
        <f>'KW 21'!S30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I32" s="129"/>
      <c r="J32" s="129"/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4">
        <f>'KW 21'!S35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491" priority="12">
      <formula>Wochetag($C$3:$P$3,2)&gt;5</formula>
    </cfRule>
  </conditionalFormatting>
  <conditionalFormatting sqref="K25:L25 K29:L29">
    <cfRule type="expression" dxfId="490" priority="11">
      <formula>Wochetag($C$3:$P$3,2)&gt;5</formula>
    </cfRule>
  </conditionalFormatting>
  <conditionalFormatting sqref="C25:J25 C29:J29">
    <cfRule type="expression" dxfId="489" priority="10">
      <formula>Wochetag($C$3:$P$3,2)&gt;5</formula>
    </cfRule>
  </conditionalFormatting>
  <conditionalFormatting sqref="M29:P29">
    <cfRule type="expression" dxfId="488" priority="9">
      <formula>Wochetag($C$3:$P$3,2)&gt;5</formula>
    </cfRule>
  </conditionalFormatting>
  <conditionalFormatting sqref="M11:P11">
    <cfRule type="expression" dxfId="487" priority="8">
      <formula>Wochetag($C$3:$P$3,2)&gt;5</formula>
    </cfRule>
  </conditionalFormatting>
  <conditionalFormatting sqref="C9:L12">
    <cfRule type="expression" dxfId="486" priority="7">
      <formula>Wochetag($C$3:$P$3,2)&gt;5</formula>
    </cfRule>
  </conditionalFormatting>
  <conditionalFormatting sqref="C14:L15">
    <cfRule type="expression" dxfId="485" priority="6">
      <formula>Wochetag($C$3:$P$3,2)&gt;5</formula>
    </cfRule>
  </conditionalFormatting>
  <conditionalFormatting sqref="C17:L17">
    <cfRule type="expression" dxfId="484" priority="5">
      <formula>Wochetag($C$3:$P$3,2)&gt;5</formula>
    </cfRule>
  </conditionalFormatting>
  <conditionalFormatting sqref="C20:L20">
    <cfRule type="expression" dxfId="483" priority="4">
      <formula>Wochetag($C$3:$P$3,2)&gt;5</formula>
    </cfRule>
  </conditionalFormatting>
  <conditionalFormatting sqref="C22:L24">
    <cfRule type="expression" dxfId="482" priority="3">
      <formula>Wochetag($C$3:$P$3,2)&gt;5</formula>
    </cfRule>
  </conditionalFormatting>
  <conditionalFormatting sqref="C26:L28">
    <cfRule type="expression" dxfId="481" priority="2">
      <formula>Wochetag($C$3:$P$3,2)&gt;5</formula>
    </cfRule>
  </conditionalFormatting>
  <conditionalFormatting sqref="C30:L30">
    <cfRule type="expression" dxfId="480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U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1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77" t="s">
        <v>20</v>
      </c>
      <c r="B3" s="181" t="s">
        <v>21</v>
      </c>
      <c r="C3" s="91">
        <f>'KW 1'!$C$3+154</f>
        <v>44354</v>
      </c>
      <c r="D3" s="92">
        <f>C3</f>
        <v>44354</v>
      </c>
      <c r="E3" s="91">
        <f>C3+1</f>
        <v>44355</v>
      </c>
      <c r="F3" s="92">
        <f>E3</f>
        <v>44355</v>
      </c>
      <c r="G3" s="91">
        <f>C3+2</f>
        <v>44356</v>
      </c>
      <c r="H3" s="92">
        <f>G3</f>
        <v>44356</v>
      </c>
      <c r="I3" s="91">
        <f>C3+3</f>
        <v>44357</v>
      </c>
      <c r="J3" s="92">
        <f>I3</f>
        <v>44357</v>
      </c>
      <c r="K3" s="91">
        <f>C3+4</f>
        <v>44358</v>
      </c>
      <c r="L3" s="92">
        <f>K3</f>
        <v>44358</v>
      </c>
      <c r="M3" s="91">
        <f>C3+5</f>
        <v>44359</v>
      </c>
      <c r="N3" s="92">
        <f>M3</f>
        <v>44359</v>
      </c>
      <c r="O3" s="91">
        <f>C3+6</f>
        <v>44360</v>
      </c>
      <c r="P3" s="92">
        <f>O3</f>
        <v>44360</v>
      </c>
      <c r="Q3" s="14" t="s">
        <v>0</v>
      </c>
      <c r="R3" s="15" t="s">
        <v>0</v>
      </c>
      <c r="S3" s="177" t="s">
        <v>1</v>
      </c>
      <c r="T3" s="177" t="s">
        <v>2</v>
      </c>
      <c r="U3" s="175" t="s">
        <v>4</v>
      </c>
    </row>
    <row r="4" spans="1:21" ht="15" thickBot="1" x14ac:dyDescent="0.35">
      <c r="A4" s="178"/>
      <c r="B4" s="182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76"/>
    </row>
    <row r="5" spans="1:21" x14ac:dyDescent="0.3">
      <c r="A5" s="19" t="str">
        <f>Start!A5</f>
        <v>Postbearbeitung Bestand</v>
      </c>
      <c r="B5" s="134">
        <f>'KW 22'!S5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5">
        <f>'KW 22'!S6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6">
        <f>'KW 22'!S7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5">
        <f>'KW 22'!S9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5">
        <f>'KW 22'!S10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5">
        <f>'KW 22'!S11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5">
        <f>'KW 22'!S12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5">
        <f>'KW 22'!S14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" thickBot="1" x14ac:dyDescent="0.35">
      <c r="A15" s="29" t="str">
        <f>Start!A15</f>
        <v>Einfachaufträge</v>
      </c>
      <c r="B15" s="135">
        <f>'KW 22'!S15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5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5">
        <f>'KW 22'!S17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39">
        <f>'KW 22'!S20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4">
        <f>'KW 22'!S22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5">
        <f>'KW 22'!S23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6">
        <f>'KW 22'!S24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4">
        <f>'KW 22'!S26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5">
        <f>'KW 22'!S27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6">
        <f>'KW 22'!S28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39">
        <f>'KW 22'!S30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4">
        <f>'KW 22'!S35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479" priority="12">
      <formula>Wochetag($C$3:$P$3,2)&gt;5</formula>
    </cfRule>
  </conditionalFormatting>
  <conditionalFormatting sqref="K25:L25 K29:L29">
    <cfRule type="expression" dxfId="478" priority="11">
      <formula>Wochetag($C$3:$P$3,2)&gt;5</formula>
    </cfRule>
  </conditionalFormatting>
  <conditionalFormatting sqref="C25:J25 C29:J29">
    <cfRule type="expression" dxfId="477" priority="10">
      <formula>Wochetag($C$3:$P$3,2)&gt;5</formula>
    </cfRule>
  </conditionalFormatting>
  <conditionalFormatting sqref="M29:P29">
    <cfRule type="expression" dxfId="476" priority="9">
      <formula>Wochetag($C$3:$P$3,2)&gt;5</formula>
    </cfRule>
  </conditionalFormatting>
  <conditionalFormatting sqref="M11:P11">
    <cfRule type="expression" dxfId="475" priority="8">
      <formula>Wochetag($C$3:$P$3,2)&gt;5</formula>
    </cfRule>
  </conditionalFormatting>
  <conditionalFormatting sqref="C9:L12">
    <cfRule type="expression" dxfId="474" priority="7">
      <formula>Wochetag($C$3:$P$3,2)&gt;5</formula>
    </cfRule>
  </conditionalFormatting>
  <conditionalFormatting sqref="C14:L15">
    <cfRule type="expression" dxfId="473" priority="6">
      <formula>Wochetag($C$3:$P$3,2)&gt;5</formula>
    </cfRule>
  </conditionalFormatting>
  <conditionalFormatting sqref="C17:L17">
    <cfRule type="expression" dxfId="472" priority="5">
      <formula>Wochetag($C$3:$P$3,2)&gt;5</formula>
    </cfRule>
  </conditionalFormatting>
  <conditionalFormatting sqref="C20:L20">
    <cfRule type="expression" dxfId="471" priority="4">
      <formula>Wochetag($C$3:$P$3,2)&gt;5</formula>
    </cfRule>
  </conditionalFormatting>
  <conditionalFormatting sqref="C22:L24">
    <cfRule type="expression" dxfId="470" priority="3">
      <formula>Wochetag($C$3:$P$3,2)&gt;5</formula>
    </cfRule>
  </conditionalFormatting>
  <conditionalFormatting sqref="C26:L28">
    <cfRule type="expression" dxfId="469" priority="2">
      <formula>Wochetag($C$3:$P$3,2)&gt;5</formula>
    </cfRule>
  </conditionalFormatting>
  <conditionalFormatting sqref="C30:L30">
    <cfRule type="expression" dxfId="468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1:U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1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77" t="s">
        <v>20</v>
      </c>
      <c r="B3" s="181" t="s">
        <v>21</v>
      </c>
      <c r="C3" s="91">
        <f>'KW 1'!$C$3+161</f>
        <v>44361</v>
      </c>
      <c r="D3" s="92">
        <f>C3</f>
        <v>44361</v>
      </c>
      <c r="E3" s="91">
        <f>C3+1</f>
        <v>44362</v>
      </c>
      <c r="F3" s="92">
        <f>E3</f>
        <v>44362</v>
      </c>
      <c r="G3" s="91">
        <f>C3+2</f>
        <v>44363</v>
      </c>
      <c r="H3" s="92">
        <f>G3</f>
        <v>44363</v>
      </c>
      <c r="I3" s="91">
        <f>C3+3</f>
        <v>44364</v>
      </c>
      <c r="J3" s="92">
        <f>I3</f>
        <v>44364</v>
      </c>
      <c r="K3" s="91">
        <f>C3+4</f>
        <v>44365</v>
      </c>
      <c r="L3" s="92">
        <f>K3</f>
        <v>44365</v>
      </c>
      <c r="M3" s="91">
        <f>C3+5</f>
        <v>44366</v>
      </c>
      <c r="N3" s="92">
        <f>M3</f>
        <v>44366</v>
      </c>
      <c r="O3" s="91">
        <f>C3+6</f>
        <v>44367</v>
      </c>
      <c r="P3" s="92">
        <f>O3</f>
        <v>44367</v>
      </c>
      <c r="Q3" s="14" t="s">
        <v>0</v>
      </c>
      <c r="R3" s="15" t="s">
        <v>0</v>
      </c>
      <c r="S3" s="177" t="s">
        <v>1</v>
      </c>
      <c r="T3" s="177" t="s">
        <v>2</v>
      </c>
      <c r="U3" s="175" t="s">
        <v>4</v>
      </c>
    </row>
    <row r="4" spans="1:21" ht="15" thickBot="1" x14ac:dyDescent="0.35">
      <c r="A4" s="178"/>
      <c r="B4" s="182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76"/>
    </row>
    <row r="5" spans="1:21" x14ac:dyDescent="0.3">
      <c r="A5" s="19" t="str">
        <f>Start!A5</f>
        <v>Postbearbeitung Bestand</v>
      </c>
      <c r="B5" s="134">
        <f>'KW 23'!S5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5">
        <f>'KW 23'!S6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6">
        <f>'KW 23'!S7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5">
        <f>'KW 23'!S9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5">
        <f>'KW 23'!S10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5">
        <f>'KW 23'!S11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5">
        <f>'KW 23'!S12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5">
        <f>'KW 23'!S14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" thickBot="1" x14ac:dyDescent="0.35">
      <c r="A15" s="29" t="str">
        <f>Start!A15</f>
        <v>Einfachaufträge</v>
      </c>
      <c r="B15" s="135">
        <f>'KW 23'!S15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5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5">
        <f>'KW 23'!S17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39">
        <f>'KW 23'!S20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4">
        <f>'KW 23'!S22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5">
        <f>'KW 23'!S23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6">
        <f>'KW 23'!S24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4">
        <f>'KW 23'!S26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5">
        <f>'KW 23'!S27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6">
        <f>'KW 23'!S28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39">
        <f>'KW 23'!S30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4">
        <f>'KW 23'!S35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467" priority="12">
      <formula>Wochetag($C$3:$P$3,2)&gt;5</formula>
    </cfRule>
  </conditionalFormatting>
  <conditionalFormatting sqref="K25:L25 K29:L29">
    <cfRule type="expression" dxfId="466" priority="11">
      <formula>Wochetag($C$3:$P$3,2)&gt;5</formula>
    </cfRule>
  </conditionalFormatting>
  <conditionalFormatting sqref="C25:J25 C29:J29">
    <cfRule type="expression" dxfId="465" priority="10">
      <formula>Wochetag($C$3:$P$3,2)&gt;5</formula>
    </cfRule>
  </conditionalFormatting>
  <conditionalFormatting sqref="M29:P29">
    <cfRule type="expression" dxfId="464" priority="9">
      <formula>Wochetag($C$3:$P$3,2)&gt;5</formula>
    </cfRule>
  </conditionalFormatting>
  <conditionalFormatting sqref="M11:P11">
    <cfRule type="expression" dxfId="463" priority="8">
      <formula>Wochetag($C$3:$P$3,2)&gt;5</formula>
    </cfRule>
  </conditionalFormatting>
  <conditionalFormatting sqref="C9:L12">
    <cfRule type="expression" dxfId="462" priority="7">
      <formula>Wochetag($C$3:$P$3,2)&gt;5</formula>
    </cfRule>
  </conditionalFormatting>
  <conditionalFormatting sqref="C14:L15">
    <cfRule type="expression" dxfId="461" priority="6">
      <formula>Wochetag($C$3:$P$3,2)&gt;5</formula>
    </cfRule>
  </conditionalFormatting>
  <conditionalFormatting sqref="C17:L17">
    <cfRule type="expression" dxfId="460" priority="5">
      <formula>Wochetag($C$3:$P$3,2)&gt;5</formula>
    </cfRule>
  </conditionalFormatting>
  <conditionalFormatting sqref="C20:L20">
    <cfRule type="expression" dxfId="459" priority="4">
      <formula>Wochetag($C$3:$P$3,2)&gt;5</formula>
    </cfRule>
  </conditionalFormatting>
  <conditionalFormatting sqref="C22:L24">
    <cfRule type="expression" dxfId="458" priority="3">
      <formula>Wochetag($C$3:$P$3,2)&gt;5</formula>
    </cfRule>
  </conditionalFormatting>
  <conditionalFormatting sqref="C26:L28">
    <cfRule type="expression" dxfId="457" priority="2">
      <formula>Wochetag($C$3:$P$3,2)&gt;5</formula>
    </cfRule>
  </conditionalFormatting>
  <conditionalFormatting sqref="C30:L30">
    <cfRule type="expression" dxfId="456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8"/>
  <dimension ref="A1:U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1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77" t="s">
        <v>20</v>
      </c>
      <c r="B3" s="181" t="s">
        <v>21</v>
      </c>
      <c r="C3" s="91">
        <f>'KW 1'!$C$3+168</f>
        <v>44368</v>
      </c>
      <c r="D3" s="92">
        <f>C3</f>
        <v>44368</v>
      </c>
      <c r="E3" s="91">
        <f>C3+1</f>
        <v>44369</v>
      </c>
      <c r="F3" s="92">
        <f>E3</f>
        <v>44369</v>
      </c>
      <c r="G3" s="91">
        <f>C3+2</f>
        <v>44370</v>
      </c>
      <c r="H3" s="92">
        <f>G3</f>
        <v>44370</v>
      </c>
      <c r="I3" s="91">
        <f>C3+3</f>
        <v>44371</v>
      </c>
      <c r="J3" s="92">
        <f>I3</f>
        <v>44371</v>
      </c>
      <c r="K3" s="91">
        <f>C3+4</f>
        <v>44372</v>
      </c>
      <c r="L3" s="92">
        <f>K3</f>
        <v>44372</v>
      </c>
      <c r="M3" s="91">
        <f>C3+5</f>
        <v>44373</v>
      </c>
      <c r="N3" s="92">
        <f>M3</f>
        <v>44373</v>
      </c>
      <c r="O3" s="91">
        <f>C3+6</f>
        <v>44374</v>
      </c>
      <c r="P3" s="92">
        <f>O3</f>
        <v>44374</v>
      </c>
      <c r="Q3" s="14" t="s">
        <v>0</v>
      </c>
      <c r="R3" s="15" t="s">
        <v>0</v>
      </c>
      <c r="S3" s="177" t="s">
        <v>1</v>
      </c>
      <c r="T3" s="177" t="s">
        <v>2</v>
      </c>
      <c r="U3" s="175" t="s">
        <v>4</v>
      </c>
    </row>
    <row r="4" spans="1:21" ht="15" thickBot="1" x14ac:dyDescent="0.35">
      <c r="A4" s="178"/>
      <c r="B4" s="182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76"/>
    </row>
    <row r="5" spans="1:21" x14ac:dyDescent="0.3">
      <c r="A5" s="19" t="str">
        <f>Start!A5</f>
        <v>Postbearbeitung Bestand</v>
      </c>
      <c r="B5" s="134">
        <f>'KW 24'!S5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5">
        <f>'KW 24'!S6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6">
        <f>'KW 24'!S7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5">
        <f>'KW 24'!S9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5">
        <f>'KW 24'!S10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5">
        <f>'KW 24'!S11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5">
        <f>'KW 24'!S12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5">
        <f>'KW 24'!S14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" thickBot="1" x14ac:dyDescent="0.35">
      <c r="A15" s="29" t="str">
        <f>Start!A15</f>
        <v>Einfachaufträge</v>
      </c>
      <c r="B15" s="135">
        <f>'KW 24'!S15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5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5">
        <f>'KW 24'!S17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39">
        <f>'KW 24'!S20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4">
        <f>'KW 24'!S22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5">
        <f>'KW 24'!S23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6">
        <f>'KW 24'!S24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4">
        <f>'KW 24'!S26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5">
        <f>'KW 24'!S27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6">
        <f>'KW 24'!S28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39">
        <f>'KW 24'!S30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4">
        <f>'KW 24'!S35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455" priority="12">
      <formula>Wochetag($C$3:$P$3,2)&gt;5</formula>
    </cfRule>
  </conditionalFormatting>
  <conditionalFormatting sqref="K25:L25 K29:L29">
    <cfRule type="expression" dxfId="454" priority="11">
      <formula>Wochetag($C$3:$P$3,2)&gt;5</formula>
    </cfRule>
  </conditionalFormatting>
  <conditionalFormatting sqref="C25:J25 C29:J29">
    <cfRule type="expression" dxfId="453" priority="10">
      <formula>Wochetag($C$3:$P$3,2)&gt;5</formula>
    </cfRule>
  </conditionalFormatting>
  <conditionalFormatting sqref="M29:P29">
    <cfRule type="expression" dxfId="452" priority="9">
      <formula>Wochetag($C$3:$P$3,2)&gt;5</formula>
    </cfRule>
  </conditionalFormatting>
  <conditionalFormatting sqref="M11:P11">
    <cfRule type="expression" dxfId="451" priority="8">
      <formula>Wochetag($C$3:$P$3,2)&gt;5</formula>
    </cfRule>
  </conditionalFormatting>
  <conditionalFormatting sqref="C9:L12">
    <cfRule type="expression" dxfId="450" priority="7">
      <formula>Wochetag($C$3:$P$3,2)&gt;5</formula>
    </cfRule>
  </conditionalFormatting>
  <conditionalFormatting sqref="C14:L15">
    <cfRule type="expression" dxfId="449" priority="6">
      <formula>Wochetag($C$3:$P$3,2)&gt;5</formula>
    </cfRule>
  </conditionalFormatting>
  <conditionalFormatting sqref="C17:L17">
    <cfRule type="expression" dxfId="448" priority="5">
      <formula>Wochetag($C$3:$P$3,2)&gt;5</formula>
    </cfRule>
  </conditionalFormatting>
  <conditionalFormatting sqref="C20:L20">
    <cfRule type="expression" dxfId="447" priority="4">
      <formula>Wochetag($C$3:$P$3,2)&gt;5</formula>
    </cfRule>
  </conditionalFormatting>
  <conditionalFormatting sqref="C22:L24">
    <cfRule type="expression" dxfId="446" priority="3">
      <formula>Wochetag($C$3:$P$3,2)&gt;5</formula>
    </cfRule>
  </conditionalFormatting>
  <conditionalFormatting sqref="C26:L28">
    <cfRule type="expression" dxfId="445" priority="2">
      <formula>Wochetag($C$3:$P$3,2)&gt;5</formula>
    </cfRule>
  </conditionalFormatting>
  <conditionalFormatting sqref="C30:L30">
    <cfRule type="expression" dxfId="444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9"/>
  <dimension ref="A1:U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1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77" t="s">
        <v>20</v>
      </c>
      <c r="B3" s="181" t="s">
        <v>21</v>
      </c>
      <c r="C3" s="91">
        <f>'KW 1'!$C$3+175</f>
        <v>44375</v>
      </c>
      <c r="D3" s="92">
        <f>C3</f>
        <v>44375</v>
      </c>
      <c r="E3" s="91">
        <f>C3+1</f>
        <v>44376</v>
      </c>
      <c r="F3" s="92">
        <f>E3</f>
        <v>44376</v>
      </c>
      <c r="G3" s="91">
        <f>C3+2</f>
        <v>44377</v>
      </c>
      <c r="H3" s="92">
        <f>G3</f>
        <v>44377</v>
      </c>
      <c r="I3" s="91">
        <f>C3+3</f>
        <v>44378</v>
      </c>
      <c r="J3" s="92">
        <f>I3</f>
        <v>44378</v>
      </c>
      <c r="K3" s="91">
        <f>C3+4</f>
        <v>44379</v>
      </c>
      <c r="L3" s="92">
        <f>K3</f>
        <v>44379</v>
      </c>
      <c r="M3" s="91">
        <f>C3+5</f>
        <v>44380</v>
      </c>
      <c r="N3" s="92">
        <f>M3</f>
        <v>44380</v>
      </c>
      <c r="O3" s="91">
        <f>C3+6</f>
        <v>44381</v>
      </c>
      <c r="P3" s="92">
        <f>O3</f>
        <v>44381</v>
      </c>
      <c r="Q3" s="14" t="s">
        <v>0</v>
      </c>
      <c r="R3" s="15" t="s">
        <v>0</v>
      </c>
      <c r="S3" s="177" t="s">
        <v>1</v>
      </c>
      <c r="T3" s="177" t="s">
        <v>2</v>
      </c>
      <c r="U3" s="175" t="s">
        <v>4</v>
      </c>
    </row>
    <row r="4" spans="1:21" ht="15" thickBot="1" x14ac:dyDescent="0.35">
      <c r="A4" s="178"/>
      <c r="B4" s="182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76"/>
    </row>
    <row r="5" spans="1:21" x14ac:dyDescent="0.3">
      <c r="A5" s="19" t="str">
        <f>Start!A5</f>
        <v>Postbearbeitung Bestand</v>
      </c>
      <c r="B5" s="134">
        <f>'KW 25'!S5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5">
        <f>'KW 25'!S6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6">
        <f>'KW 25'!S7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5">
        <f>'KW 25'!S9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5">
        <f>'KW 25'!S10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5">
        <f>'KW 25'!S11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5">
        <f>'KW 25'!S12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5">
        <f>'KW 25'!S14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" thickBot="1" x14ac:dyDescent="0.35">
      <c r="A15" s="29" t="str">
        <f>Start!A15</f>
        <v>Einfachaufträge</v>
      </c>
      <c r="B15" s="135">
        <f>'KW 25'!S15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5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5">
        <f>'KW 25'!S17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39">
        <f>'KW 25'!S20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4">
        <f>'KW 25'!S22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5">
        <f>'KW 25'!S23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6">
        <f>'KW 25'!S24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4">
        <f>'KW 25'!S26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5">
        <f>'KW 25'!S27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6">
        <f>'KW 25'!S28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39">
        <f>'KW 25'!S30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4">
        <f>'KW 25'!S35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443" priority="12">
      <formula>Wochetag($C$3:$P$3,2)&gt;5</formula>
    </cfRule>
  </conditionalFormatting>
  <conditionalFormatting sqref="K25:L25 K29:L29">
    <cfRule type="expression" dxfId="442" priority="11">
      <formula>Wochetag($C$3:$P$3,2)&gt;5</formula>
    </cfRule>
  </conditionalFormatting>
  <conditionalFormatting sqref="C25:J25 C29:J29">
    <cfRule type="expression" dxfId="441" priority="10">
      <formula>Wochetag($C$3:$P$3,2)&gt;5</formula>
    </cfRule>
  </conditionalFormatting>
  <conditionalFormatting sqref="M29:P29">
    <cfRule type="expression" dxfId="440" priority="9">
      <formula>Wochetag($C$3:$P$3,2)&gt;5</formula>
    </cfRule>
  </conditionalFormatting>
  <conditionalFormatting sqref="M11:P11">
    <cfRule type="expression" dxfId="439" priority="8">
      <formula>Wochetag($C$3:$P$3,2)&gt;5</formula>
    </cfRule>
  </conditionalFormatting>
  <conditionalFormatting sqref="C9:L12">
    <cfRule type="expression" dxfId="438" priority="7">
      <formula>Wochetag($C$3:$P$3,2)&gt;5</formula>
    </cfRule>
  </conditionalFormatting>
  <conditionalFormatting sqref="C14:L15">
    <cfRule type="expression" dxfId="437" priority="6">
      <formula>Wochetag($C$3:$P$3,2)&gt;5</formula>
    </cfRule>
  </conditionalFormatting>
  <conditionalFormatting sqref="C17:L17">
    <cfRule type="expression" dxfId="436" priority="5">
      <formula>Wochetag($C$3:$P$3,2)&gt;5</formula>
    </cfRule>
  </conditionalFormatting>
  <conditionalFormatting sqref="C20:L20">
    <cfRule type="expression" dxfId="435" priority="4">
      <formula>Wochetag($C$3:$P$3,2)&gt;5</formula>
    </cfRule>
  </conditionalFormatting>
  <conditionalFormatting sqref="C22:L24">
    <cfRule type="expression" dxfId="434" priority="3">
      <formula>Wochetag($C$3:$P$3,2)&gt;5</formula>
    </cfRule>
  </conditionalFormatting>
  <conditionalFormatting sqref="C26:L28">
    <cfRule type="expression" dxfId="433" priority="2">
      <formula>Wochetag($C$3:$P$3,2)&gt;5</formula>
    </cfRule>
  </conditionalFormatting>
  <conditionalFormatting sqref="C30:L30">
    <cfRule type="expression" dxfId="432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W37"/>
  <sheetViews>
    <sheetView topLeftCell="B1" zoomScaleNormal="100" workbookViewId="0">
      <selection activeCell="M6" sqref="M6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2" customWidth="1"/>
    <col min="3" max="16" width="10.77734375" style="2" customWidth="1"/>
    <col min="17" max="18" width="9.77734375" style="2" customWidth="1"/>
    <col min="19" max="16384" width="10.5546875" style="2"/>
  </cols>
  <sheetData>
    <row r="1" spans="1:23" x14ac:dyDescent="0.3">
      <c r="A1" s="6"/>
      <c r="B1" s="12"/>
      <c r="C1" s="2" t="str">
        <f>IF(C2=Start!$B$1,"",IF(C2&lt;Start!$B$1,"altes Jahr",IF(C2&gt;Start!$B$1,"neues Jahr")))</f>
        <v>altes Jahr</v>
      </c>
      <c r="E1" s="2" t="str">
        <f>IF(E2=Start!$B$1,"",IF(E2&lt;Start!$B$1,"altes Jahr",IF(E2&gt;Start!$B$1,"neues Jahr")))</f>
        <v>altes Jahr</v>
      </c>
      <c r="G1" s="2" t="str">
        <f>IF(G2=Start!$B$1,"",IF(G2&lt;Start!$B$1,"altes Jahr",IF(G2&gt;Start!$B$1,"neues Jahr")))</f>
        <v>altes Jahr</v>
      </c>
      <c r="I1" s="2" t="str">
        <f>IF(I2=Start!$B$1,"",IF(I2&lt;Start!$B$1,"altes Jahr",IF(I2&gt;Start!$B$1,"neues Jahr")))</f>
        <v>altes Jahr</v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s="119" customFormat="1" ht="16.2" thickBot="1" x14ac:dyDescent="0.35">
      <c r="A2" s="123"/>
      <c r="B2" s="124"/>
      <c r="C2" s="125">
        <f>YEAR(C3)</f>
        <v>2020</v>
      </c>
      <c r="D2" s="166" t="str">
        <f>IFERROR(VLOOKUP(C3,Start!$F$2:$G$22,2,0),"")</f>
        <v/>
      </c>
      <c r="E2" s="125">
        <f>YEAR(E3)</f>
        <v>2020</v>
      </c>
      <c r="F2" s="166" t="str">
        <f>IFERROR(VLOOKUP(E3,Start!$F$2:$G$22,2,0),"")</f>
        <v/>
      </c>
      <c r="G2" s="125">
        <f>YEAR(G3)</f>
        <v>2020</v>
      </c>
      <c r="H2" s="166" t="str">
        <f>IFERROR(VLOOKUP(G3,Start!$F$2:$G$22,2,0),"")</f>
        <v/>
      </c>
      <c r="I2" s="125">
        <f>YEAR(I3)</f>
        <v>2020</v>
      </c>
      <c r="J2" s="166" t="str">
        <f>IFERROR(VLOOKUP(I3,Start!$F$2:$G$22,2,0),"")</f>
        <v>Sylvester</v>
      </c>
      <c r="K2" s="125">
        <f>YEAR(K3)</f>
        <v>2021</v>
      </c>
      <c r="L2" s="166" t="str">
        <f>IFERROR(VLOOKUP(K3,Start!$F$2:$G$22,2,0),"")</f>
        <v>Neujahr</v>
      </c>
      <c r="M2" s="125">
        <f>YEAR(M3)</f>
        <v>2021</v>
      </c>
      <c r="N2" s="166" t="str">
        <f>IFERROR(VLOOKUP(M3,Start!$F$2:$G$22,2,0),"")</f>
        <v/>
      </c>
      <c r="O2" s="125">
        <f>YEAR(O3)</f>
        <v>2021</v>
      </c>
      <c r="P2" s="166" t="str">
        <f>IFERROR(VLOOKUP(O3,Start!$F$2:$G$22,2,0),"")</f>
        <v/>
      </c>
    </row>
    <row r="3" spans="1:23" ht="15" thickBot="1" x14ac:dyDescent="0.35">
      <c r="A3" s="177" t="s">
        <v>20</v>
      </c>
      <c r="B3" s="177" t="s">
        <v>21</v>
      </c>
      <c r="C3" s="91">
        <f>E3-1</f>
        <v>44193</v>
      </c>
      <c r="D3" s="92">
        <f>C3</f>
        <v>44193</v>
      </c>
      <c r="E3" s="91">
        <f>G3-1</f>
        <v>44194</v>
      </c>
      <c r="F3" s="92">
        <f>E3</f>
        <v>44194</v>
      </c>
      <c r="G3" s="91">
        <f>I3-1</f>
        <v>44195</v>
      </c>
      <c r="H3" s="92">
        <f>G3</f>
        <v>44195</v>
      </c>
      <c r="I3" s="91">
        <f>K3-1</f>
        <v>44196</v>
      </c>
      <c r="J3" s="92">
        <f>I3</f>
        <v>44196</v>
      </c>
      <c r="K3" s="91">
        <f>M3-1</f>
        <v>44197</v>
      </c>
      <c r="L3" s="92">
        <f>K3</f>
        <v>44197</v>
      </c>
      <c r="M3" s="91">
        <f>O3-1</f>
        <v>44198</v>
      </c>
      <c r="N3" s="92">
        <f>M3</f>
        <v>44198</v>
      </c>
      <c r="O3" s="91">
        <f>Start!I2-1</f>
        <v>44199</v>
      </c>
      <c r="P3" s="92">
        <f>O3</f>
        <v>44199</v>
      </c>
      <c r="Q3" s="14" t="s">
        <v>0</v>
      </c>
      <c r="R3" s="15" t="s">
        <v>0</v>
      </c>
      <c r="S3" s="177" t="s">
        <v>1</v>
      </c>
      <c r="T3" s="177" t="s">
        <v>2</v>
      </c>
      <c r="U3" s="179" t="s">
        <v>3</v>
      </c>
      <c r="V3" s="175"/>
      <c r="W3" s="175" t="s">
        <v>4</v>
      </c>
    </row>
    <row r="4" spans="1:23" ht="15" thickBot="1" x14ac:dyDescent="0.35">
      <c r="A4" s="178"/>
      <c r="B4" s="178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80"/>
      <c r="V4" s="176"/>
      <c r="W4" s="176"/>
    </row>
    <row r="5" spans="1:23" ht="15" thickBot="1" x14ac:dyDescent="0.35">
      <c r="A5" s="19" t="str">
        <f>Start!A5</f>
        <v>Postbearbeitung Bestand</v>
      </c>
      <c r="B5" s="134">
        <f>Start!B5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2"/>
      <c r="V5" s="22"/>
      <c r="W5" s="23">
        <f t="shared" ref="W5:W30" si="0">Q5/5</f>
        <v>0</v>
      </c>
    </row>
    <row r="6" spans="1:23" ht="15" thickBot="1" x14ac:dyDescent="0.35">
      <c r="A6" s="24" t="str">
        <f>Start!A6</f>
        <v>Mailbox</v>
      </c>
      <c r="B6" s="135">
        <f>Start!B6</f>
        <v>0</v>
      </c>
      <c r="C6" s="70"/>
      <c r="D6" s="70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26">
        <f t="shared" ref="Q6:Q7" si="1">C6+E6+G6+I6+K6+M6+O6</f>
        <v>0</v>
      </c>
      <c r="R6" s="26">
        <f t="shared" ref="R6:R7" si="2">D6+F6+H6+J6+L6+N6+P6</f>
        <v>0</v>
      </c>
      <c r="S6" s="27">
        <f t="shared" ref="S6:S12" si="3">B6+Q6-R6</f>
        <v>0</v>
      </c>
      <c r="T6" s="27">
        <f t="shared" ref="T6:T7" si="4">R6/5</f>
        <v>0</v>
      </c>
      <c r="U6" s="27"/>
      <c r="V6" s="27"/>
      <c r="W6" s="28">
        <f t="shared" si="0"/>
        <v>0</v>
      </c>
    </row>
    <row r="7" spans="1:23" ht="15" thickBot="1" x14ac:dyDescent="0.35">
      <c r="A7" s="29" t="str">
        <f>Start!A7</f>
        <v>Eilige</v>
      </c>
      <c r="B7" s="136">
        <f>Start!B7</f>
        <v>0</v>
      </c>
      <c r="C7" s="71"/>
      <c r="D7" s="71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31">
        <f t="shared" si="1"/>
        <v>0</v>
      </c>
      <c r="R7" s="31">
        <f t="shared" si="2"/>
        <v>0</v>
      </c>
      <c r="S7" s="32">
        <f t="shared" si="3"/>
        <v>0</v>
      </c>
      <c r="T7" s="32">
        <f t="shared" si="4"/>
        <v>0</v>
      </c>
      <c r="U7" s="32"/>
      <c r="V7" s="32"/>
      <c r="W7" s="33">
        <f t="shared" si="0"/>
        <v>0</v>
      </c>
    </row>
    <row r="8" spans="1:23" ht="7.35" customHeight="1" thickBot="1" x14ac:dyDescent="0.35">
      <c r="A8" s="34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35"/>
      <c r="R8" s="35"/>
      <c r="S8" s="35"/>
      <c r="T8" s="35"/>
      <c r="U8" s="35"/>
      <c r="V8" s="35"/>
      <c r="W8" s="15"/>
    </row>
    <row r="9" spans="1:23" ht="15" thickBot="1" x14ac:dyDescent="0.35">
      <c r="A9" s="19" t="str">
        <f>Start!A9</f>
        <v>OVE Abfragen</v>
      </c>
      <c r="B9" s="134">
        <f>Start!B9</f>
        <v>0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21">
        <f t="shared" ref="Q9:Q10" si="5">C9+E9+G9+I9+K9+M9+O9</f>
        <v>0</v>
      </c>
      <c r="R9" s="21">
        <f t="shared" ref="R9:R10" si="6">D9+F9+H9+J9+L9+N9+P9</f>
        <v>0</v>
      </c>
      <c r="S9" s="22">
        <f t="shared" si="3"/>
        <v>0</v>
      </c>
      <c r="T9" s="22">
        <f t="shared" ref="T9:T17" si="7">R9/5</f>
        <v>0</v>
      </c>
      <c r="U9" s="22"/>
      <c r="V9" s="22"/>
      <c r="W9" s="23">
        <f t="shared" si="0"/>
        <v>0</v>
      </c>
    </row>
    <row r="10" spans="1:23" ht="15" thickBot="1" x14ac:dyDescent="0.35">
      <c r="A10" s="24" t="str">
        <f>Start!A10</f>
        <v xml:space="preserve">   Buchungen</v>
      </c>
      <c r="B10" s="135">
        <f>Start!B10</f>
        <v>0</v>
      </c>
      <c r="C10" s="70"/>
      <c r="D10" s="70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26">
        <f t="shared" si="5"/>
        <v>0</v>
      </c>
      <c r="R10" s="26">
        <f t="shared" si="6"/>
        <v>0</v>
      </c>
      <c r="S10" s="27">
        <f t="shared" si="3"/>
        <v>0</v>
      </c>
      <c r="T10" s="27">
        <f t="shared" si="7"/>
        <v>0</v>
      </c>
      <c r="U10" s="27"/>
      <c r="V10" s="27"/>
      <c r="W10" s="28">
        <f t="shared" si="0"/>
        <v>0</v>
      </c>
    </row>
    <row r="11" spans="1:23" ht="15" thickBot="1" x14ac:dyDescent="0.35">
      <c r="A11" s="24" t="str">
        <f>Start!A11</f>
        <v>SB (Mietavale/StK)</v>
      </c>
      <c r="B11" s="135">
        <f>Start!B11</f>
        <v>2</v>
      </c>
      <c r="C11" s="71"/>
      <c r="D11" s="71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26">
        <f t="shared" ref="Q11:Q12" si="8">C11+E11+G11+I11+K11+M11+O11</f>
        <v>0</v>
      </c>
      <c r="R11" s="26">
        <f t="shared" ref="R11:R12" si="9">D11+F11+H11+J11+L11+N11+P11</f>
        <v>0</v>
      </c>
      <c r="S11" s="27">
        <f t="shared" si="3"/>
        <v>2</v>
      </c>
      <c r="T11" s="27">
        <f t="shared" si="7"/>
        <v>0</v>
      </c>
      <c r="U11" s="27"/>
      <c r="V11" s="27"/>
      <c r="W11" s="28">
        <f t="shared" si="0"/>
        <v>0</v>
      </c>
    </row>
    <row r="12" spans="1:23" ht="15" customHeight="1" thickBot="1" x14ac:dyDescent="0.35">
      <c r="A12" s="29" t="str">
        <f>Start!A12</f>
        <v>neue Mietavale</v>
      </c>
      <c r="B12" s="136">
        <f>Start!B12</f>
        <v>0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31">
        <f t="shared" si="8"/>
        <v>0</v>
      </c>
      <c r="R12" s="31">
        <f t="shared" si="9"/>
        <v>0</v>
      </c>
      <c r="S12" s="32">
        <f t="shared" si="3"/>
        <v>0</v>
      </c>
      <c r="T12" s="32">
        <f t="shared" si="7"/>
        <v>0</v>
      </c>
      <c r="U12" s="36"/>
      <c r="V12" s="37"/>
      <c r="W12" s="33">
        <f t="shared" si="0"/>
        <v>0</v>
      </c>
    </row>
    <row r="13" spans="1:23" ht="7.35" customHeight="1" thickBot="1" x14ac:dyDescent="0.35">
      <c r="A13" s="34"/>
      <c r="B13" s="138"/>
      <c r="C13" s="138"/>
      <c r="D13" s="138"/>
      <c r="E13" s="138"/>
      <c r="F13" s="138"/>
      <c r="G13" s="138"/>
      <c r="H13" s="138"/>
      <c r="I13" s="138"/>
      <c r="J13" s="138"/>
      <c r="K13" s="137"/>
      <c r="L13" s="137"/>
      <c r="M13" s="137"/>
      <c r="N13" s="137"/>
      <c r="O13" s="137"/>
      <c r="P13" s="137"/>
      <c r="Q13" s="35"/>
      <c r="R13" s="35"/>
      <c r="S13" s="35"/>
      <c r="T13" s="35"/>
      <c r="U13" s="35"/>
      <c r="V13" s="35"/>
      <c r="W13" s="15"/>
    </row>
    <row r="14" spans="1:23" ht="16.2" customHeight="1" thickBot="1" x14ac:dyDescent="0.35">
      <c r="A14" s="19" t="str">
        <f>Start!A14</f>
        <v>Vorgängerinstitute</v>
      </c>
      <c r="B14" s="134">
        <f>Start!B14</f>
        <v>0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21">
        <f t="shared" ref="Q14:Q15" si="10">C14+E14+G14+I14+K14+M14+O14</f>
        <v>0</v>
      </c>
      <c r="R14" s="21">
        <f t="shared" ref="R14:R15" si="11">D14+F14+H14+J14+L14+N14+P14</f>
        <v>0</v>
      </c>
      <c r="S14" s="22">
        <f>B14+Q14-R14</f>
        <v>0</v>
      </c>
      <c r="T14" s="22">
        <f t="shared" si="7"/>
        <v>0</v>
      </c>
      <c r="U14" s="39"/>
      <c r="V14" s="39"/>
      <c r="W14" s="23">
        <f t="shared" si="0"/>
        <v>0</v>
      </c>
    </row>
    <row r="15" spans="1:23" ht="16.2" customHeight="1" thickBot="1" x14ac:dyDescent="0.35">
      <c r="A15" s="29" t="str">
        <f>Start!A15</f>
        <v>Einfachaufträge</v>
      </c>
      <c r="B15" s="136">
        <f>Start!B15</f>
        <v>0</v>
      </c>
      <c r="C15" s="70"/>
      <c r="D15" s="70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31">
        <f t="shared" si="10"/>
        <v>0</v>
      </c>
      <c r="R15" s="31">
        <f t="shared" si="11"/>
        <v>0</v>
      </c>
      <c r="S15" s="32">
        <f>B15+Q15-R15</f>
        <v>0</v>
      </c>
      <c r="T15" s="32">
        <f t="shared" si="7"/>
        <v>0</v>
      </c>
      <c r="U15" s="40"/>
      <c r="V15" s="40"/>
      <c r="W15" s="33">
        <f t="shared" si="0"/>
        <v>0</v>
      </c>
    </row>
    <row r="16" spans="1:23" ht="16.2" hidden="1" customHeight="1" thickBot="1" x14ac:dyDescent="0.35">
      <c r="A16" s="34"/>
      <c r="B16" s="138"/>
      <c r="C16" s="138"/>
      <c r="D16" s="138"/>
      <c r="E16" s="161"/>
      <c r="F16" s="161"/>
      <c r="G16" s="138"/>
      <c r="H16" s="138"/>
      <c r="I16" s="138"/>
      <c r="J16" s="138"/>
      <c r="K16" s="137"/>
      <c r="L16" s="137"/>
      <c r="M16" s="137"/>
      <c r="N16" s="137"/>
      <c r="O16" s="137"/>
      <c r="P16" s="137"/>
      <c r="Q16" s="35"/>
      <c r="R16" s="35"/>
      <c r="S16" s="35"/>
      <c r="T16" s="35"/>
      <c r="U16" s="35"/>
      <c r="V16" s="35"/>
      <c r="W16" s="15"/>
    </row>
    <row r="17" spans="1:23" ht="16.2" hidden="1" customHeight="1" thickBot="1" x14ac:dyDescent="0.35">
      <c r="A17" s="41">
        <f>Start!A17</f>
        <v>0</v>
      </c>
      <c r="B17" s="139">
        <f>Start!B17</f>
        <v>0</v>
      </c>
      <c r="C17" s="72"/>
      <c r="D17" s="72"/>
      <c r="E17" s="71"/>
      <c r="F17" s="71"/>
      <c r="G17" s="72"/>
      <c r="H17" s="72"/>
      <c r="I17" s="72"/>
      <c r="J17" s="72"/>
      <c r="K17" s="72"/>
      <c r="L17" s="72"/>
      <c r="M17" s="126"/>
      <c r="N17" s="126"/>
      <c r="O17" s="126"/>
      <c r="P17" s="126"/>
      <c r="Q17" s="43">
        <f t="shared" ref="Q17" si="12">C17+E17+G17+I17+K17+M17+O17</f>
        <v>0</v>
      </c>
      <c r="R17" s="43">
        <f t="shared" ref="R17" si="13">D17+F17+H17+J17+L17+N17+P17</f>
        <v>0</v>
      </c>
      <c r="S17" s="44">
        <f>B17+Q17-R17</f>
        <v>0</v>
      </c>
      <c r="T17" s="44">
        <f t="shared" si="7"/>
        <v>0</v>
      </c>
      <c r="U17" s="45"/>
      <c r="V17" s="45"/>
      <c r="W17" s="46">
        <f t="shared" si="0"/>
        <v>0</v>
      </c>
    </row>
    <row r="18" spans="1:23" ht="16.2" customHeight="1" thickBot="1" x14ac:dyDescent="0.35">
      <c r="A18" s="47" t="s">
        <v>13</v>
      </c>
      <c r="B18" s="140"/>
      <c r="C18" s="48">
        <f>SUM(C5:C17)</f>
        <v>0</v>
      </c>
      <c r="D18" s="48">
        <f t="shared" ref="D18:L18" si="14">SUM(D5:D17)</f>
        <v>0</v>
      </c>
      <c r="E18" s="48">
        <f t="shared" si="14"/>
        <v>0</v>
      </c>
      <c r="F18" s="48">
        <f t="shared" si="14"/>
        <v>0</v>
      </c>
      <c r="G18" s="48">
        <f t="shared" si="14"/>
        <v>0</v>
      </c>
      <c r="H18" s="48">
        <f t="shared" si="14"/>
        <v>0</v>
      </c>
      <c r="I18" s="48">
        <f t="shared" si="14"/>
        <v>0</v>
      </c>
      <c r="J18" s="48">
        <f t="shared" si="14"/>
        <v>0</v>
      </c>
      <c r="K18" s="48">
        <f t="shared" si="14"/>
        <v>0</v>
      </c>
      <c r="L18" s="48">
        <f t="shared" si="14"/>
        <v>0</v>
      </c>
      <c r="M18" s="48">
        <f t="shared" ref="M18:P18" si="15">SUM(M5:M17)</f>
        <v>0</v>
      </c>
      <c r="N18" s="48">
        <f t="shared" si="15"/>
        <v>0</v>
      </c>
      <c r="O18" s="48">
        <f t="shared" si="15"/>
        <v>0</v>
      </c>
      <c r="P18" s="48">
        <f t="shared" si="15"/>
        <v>0</v>
      </c>
      <c r="Q18" s="48">
        <f t="shared" ref="Q18:T18" si="16">SUM(Q5:Q17)</f>
        <v>0</v>
      </c>
      <c r="R18" s="48">
        <f t="shared" si="16"/>
        <v>0</v>
      </c>
      <c r="S18" s="49">
        <f t="shared" si="16"/>
        <v>2</v>
      </c>
      <c r="T18" s="49">
        <f t="shared" si="16"/>
        <v>0</v>
      </c>
      <c r="U18" s="49"/>
      <c r="V18" s="49"/>
      <c r="W18" s="49"/>
    </row>
    <row r="19" spans="1:23" ht="15" thickBot="1" x14ac:dyDescent="0.35">
      <c r="A19" s="50"/>
      <c r="B19" s="141"/>
      <c r="C19" s="141"/>
      <c r="D19" s="141"/>
      <c r="E19" s="70"/>
      <c r="F19" s="70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50"/>
      <c r="R19" s="50"/>
      <c r="S19" s="50"/>
      <c r="T19" s="50"/>
      <c r="U19" s="51"/>
      <c r="V19" s="51"/>
      <c r="W19" s="52"/>
    </row>
    <row r="20" spans="1:23" ht="15" thickBot="1" x14ac:dyDescent="0.35">
      <c r="A20" s="41" t="str">
        <f>Start!A20</f>
        <v>Postbearbeitung</v>
      </c>
      <c r="B20" s="142">
        <f>Start!B20</f>
        <v>0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43">
        <f t="shared" ref="Q20" si="17">C20+E20+G20+I20+K20+M20+O20</f>
        <v>0</v>
      </c>
      <c r="R20" s="43">
        <f t="shared" ref="R20" si="18">D20+F20+H20+J20+L20+N20+P20</f>
        <v>0</v>
      </c>
      <c r="S20" s="44">
        <f>B20+Q20-R20</f>
        <v>0</v>
      </c>
      <c r="T20" s="44">
        <f t="shared" ref="T20:T30" si="19">R20/5</f>
        <v>0</v>
      </c>
      <c r="U20" s="44"/>
      <c r="V20" s="44"/>
      <c r="W20" s="46">
        <f t="shared" si="0"/>
        <v>0</v>
      </c>
    </row>
    <row r="21" spans="1:23" ht="7.35" customHeight="1" thickBot="1" x14ac:dyDescent="0.35">
      <c r="A21" s="34"/>
      <c r="B21" s="137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37"/>
      <c r="N21" s="137"/>
      <c r="O21" s="137"/>
      <c r="P21" s="137"/>
      <c r="Q21" s="35"/>
      <c r="R21" s="35"/>
      <c r="S21" s="35"/>
      <c r="T21" s="35"/>
      <c r="U21" s="35"/>
      <c r="V21" s="35"/>
      <c r="W21" s="15"/>
    </row>
    <row r="22" spans="1:23" ht="15" thickBot="1" x14ac:dyDescent="0.35">
      <c r="A22" s="19" t="str">
        <f>Start!A22</f>
        <v>SWP Mailbox</v>
      </c>
      <c r="B22" s="134">
        <f>Start!B22</f>
        <v>0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21">
        <f t="shared" ref="Q22:Q24" si="20">C22+E22+G22+I22+K22+M22+O22</f>
        <v>0</v>
      </c>
      <c r="R22" s="21">
        <f t="shared" ref="R22:R24" si="21">D22+F22+H22+J22+L22+N22+P22</f>
        <v>0</v>
      </c>
      <c r="S22" s="22">
        <f>B22+Q22-R22</f>
        <v>0</v>
      </c>
      <c r="T22" s="22">
        <f t="shared" si="19"/>
        <v>0</v>
      </c>
      <c r="U22" s="22"/>
      <c r="V22" s="22"/>
      <c r="W22" s="23">
        <f t="shared" si="0"/>
        <v>0</v>
      </c>
    </row>
    <row r="23" spans="1:23" ht="15" thickBot="1" x14ac:dyDescent="0.35">
      <c r="A23" s="24" t="str">
        <f>Start!A23</f>
        <v>KCB Mailbox</v>
      </c>
      <c r="B23" s="135">
        <f>Start!B23</f>
        <v>0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26">
        <f t="shared" si="20"/>
        <v>0</v>
      </c>
      <c r="R23" s="26">
        <f t="shared" si="21"/>
        <v>0</v>
      </c>
      <c r="S23" s="27">
        <f>B23+Q23-R23</f>
        <v>0</v>
      </c>
      <c r="T23" s="27">
        <f t="shared" si="19"/>
        <v>0</v>
      </c>
      <c r="U23" s="27"/>
      <c r="V23" s="27"/>
      <c r="W23" s="28">
        <f t="shared" si="0"/>
        <v>0</v>
      </c>
    </row>
    <row r="24" spans="1:23" ht="15" thickBot="1" x14ac:dyDescent="0.35">
      <c r="A24" s="29" t="str">
        <f>Start!A24</f>
        <v>SNOW</v>
      </c>
      <c r="B24" s="136">
        <f>Start!B24</f>
        <v>0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31">
        <f t="shared" si="20"/>
        <v>0</v>
      </c>
      <c r="R24" s="31">
        <f t="shared" si="21"/>
        <v>0</v>
      </c>
      <c r="S24" s="32">
        <f t="shared" ref="S24:S30" si="22">B24+Q24-R24</f>
        <v>0</v>
      </c>
      <c r="T24" s="32">
        <f t="shared" si="19"/>
        <v>0</v>
      </c>
      <c r="U24" s="32"/>
      <c r="V24" s="32"/>
      <c r="W24" s="33">
        <f t="shared" si="0"/>
        <v>0</v>
      </c>
    </row>
    <row r="25" spans="1:23" ht="7.35" customHeight="1" thickBot="1" x14ac:dyDescent="0.35">
      <c r="A25" s="34"/>
      <c r="B25" s="137"/>
      <c r="C25" s="158"/>
      <c r="D25" s="158"/>
      <c r="E25" s="158"/>
      <c r="F25" s="158"/>
      <c r="G25" s="158"/>
      <c r="H25" s="158"/>
      <c r="I25" s="158"/>
      <c r="J25" s="158"/>
      <c r="K25" s="158"/>
      <c r="L25" s="158"/>
      <c r="M25" s="137"/>
      <c r="N25" s="137"/>
      <c r="O25" s="137"/>
      <c r="P25" s="137"/>
      <c r="Q25" s="35"/>
      <c r="R25" s="35"/>
      <c r="S25" s="35"/>
      <c r="T25" s="35"/>
      <c r="U25" s="35"/>
      <c r="V25" s="35"/>
      <c r="W25" s="15"/>
    </row>
    <row r="26" spans="1:23" ht="15" thickBot="1" x14ac:dyDescent="0.35">
      <c r="A26" s="19" t="str">
        <f>Start!A26</f>
        <v>Antragsvorprüfung</v>
      </c>
      <c r="B26" s="134">
        <f>Start!B26</f>
        <v>1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21">
        <f t="shared" ref="Q26:Q28" si="23">C26+E26+G26+I26+K26+M26+O26</f>
        <v>0</v>
      </c>
      <c r="R26" s="21">
        <f t="shared" ref="R26:R28" si="24">D26+F26+H26+J26+L26+N26+P26</f>
        <v>0</v>
      </c>
      <c r="S26" s="22">
        <f t="shared" si="22"/>
        <v>1</v>
      </c>
      <c r="T26" s="22">
        <f t="shared" si="19"/>
        <v>0</v>
      </c>
      <c r="U26" s="22"/>
      <c r="V26" s="22"/>
      <c r="W26" s="23">
        <f t="shared" si="0"/>
        <v>0</v>
      </c>
    </row>
    <row r="27" spans="1:23" ht="15" thickBot="1" x14ac:dyDescent="0.35">
      <c r="A27" s="24" t="str">
        <f>Start!A27</f>
        <v>LV TAZ</v>
      </c>
      <c r="B27" s="135">
        <f>Start!B27</f>
        <v>48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26">
        <f t="shared" si="23"/>
        <v>0</v>
      </c>
      <c r="R27" s="26">
        <f t="shared" si="24"/>
        <v>0</v>
      </c>
      <c r="S27" s="27">
        <f t="shared" si="22"/>
        <v>48</v>
      </c>
      <c r="T27" s="27">
        <f t="shared" si="19"/>
        <v>0</v>
      </c>
      <c r="U27" s="27"/>
      <c r="V27" s="27"/>
      <c r="W27" s="28">
        <f t="shared" si="0"/>
        <v>0</v>
      </c>
    </row>
    <row r="28" spans="1:23" ht="15" thickBot="1" x14ac:dyDescent="0.35">
      <c r="A28" s="29" t="str">
        <f>Start!A28</f>
        <v>WGV</v>
      </c>
      <c r="B28" s="136">
        <f>Start!B28</f>
        <v>7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31">
        <f t="shared" si="23"/>
        <v>0</v>
      </c>
      <c r="R28" s="31">
        <f t="shared" si="24"/>
        <v>0</v>
      </c>
      <c r="S28" s="32">
        <f t="shared" si="22"/>
        <v>7</v>
      </c>
      <c r="T28" s="32">
        <f t="shared" si="19"/>
        <v>0</v>
      </c>
      <c r="U28" s="32"/>
      <c r="V28" s="32"/>
      <c r="W28" s="33">
        <f t="shared" si="0"/>
        <v>0</v>
      </c>
    </row>
    <row r="29" spans="1:23" ht="7.35" customHeight="1" thickBot="1" x14ac:dyDescent="0.35">
      <c r="A29" s="5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53"/>
      <c r="R29" s="53"/>
      <c r="S29" s="53"/>
      <c r="T29" s="54"/>
      <c r="U29" s="54"/>
      <c r="V29" s="54"/>
      <c r="W29" s="54"/>
    </row>
    <row r="30" spans="1:23" ht="15" thickBot="1" x14ac:dyDescent="0.35">
      <c r="A30" s="41" t="str">
        <f>Start!A30</f>
        <v>Postbearbeitung BCB</v>
      </c>
      <c r="B30" s="139">
        <f>Start!B30</f>
        <v>0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43">
        <f t="shared" ref="Q30" si="25">C30+E30+G30+I30+K30+M30+O30</f>
        <v>0</v>
      </c>
      <c r="R30" s="43">
        <f t="shared" ref="R30" si="26">D30+F30+H30+J30+L30+N30+P30</f>
        <v>0</v>
      </c>
      <c r="S30" s="44">
        <f t="shared" si="22"/>
        <v>0</v>
      </c>
      <c r="T30" s="44">
        <f t="shared" si="19"/>
        <v>0</v>
      </c>
      <c r="U30" s="44"/>
      <c r="V30" s="44"/>
      <c r="W30" s="46">
        <f t="shared" si="0"/>
        <v>0</v>
      </c>
    </row>
    <row r="31" spans="1:23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P31" si="27">SUM(D20:D30)</f>
        <v>0</v>
      </c>
      <c r="E31" s="55">
        <f t="shared" si="27"/>
        <v>0</v>
      </c>
      <c r="F31" s="55">
        <f t="shared" si="27"/>
        <v>0</v>
      </c>
      <c r="G31" s="55">
        <f t="shared" si="27"/>
        <v>0</v>
      </c>
      <c r="H31" s="55">
        <f t="shared" si="27"/>
        <v>0</v>
      </c>
      <c r="I31" s="55">
        <f t="shared" si="27"/>
        <v>0</v>
      </c>
      <c r="J31" s="55">
        <f t="shared" si="27"/>
        <v>0</v>
      </c>
      <c r="K31" s="55">
        <f t="shared" si="27"/>
        <v>0</v>
      </c>
      <c r="L31" s="55">
        <f t="shared" si="27"/>
        <v>0</v>
      </c>
      <c r="M31" s="55">
        <f t="shared" si="27"/>
        <v>0</v>
      </c>
      <c r="N31" s="55">
        <f t="shared" si="27"/>
        <v>0</v>
      </c>
      <c r="O31" s="55">
        <f t="shared" si="27"/>
        <v>0</v>
      </c>
      <c r="P31" s="55">
        <f t="shared" si="27"/>
        <v>0</v>
      </c>
      <c r="Q31" s="55">
        <f t="shared" ref="Q31" si="28">SUM(Q20:Q30)</f>
        <v>0</v>
      </c>
      <c r="R31" s="55">
        <f t="shared" ref="R31" si="29">SUM(R20:R30)</f>
        <v>0</v>
      </c>
      <c r="S31" s="55">
        <f t="shared" ref="S31" si="30">SUM(S20:S30)</f>
        <v>56</v>
      </c>
      <c r="T31" s="55">
        <f t="shared" ref="T31" si="31">SUM(T20:T30)</f>
        <v>0</v>
      </c>
      <c r="U31" s="55"/>
      <c r="V31" s="55"/>
      <c r="W31" s="55"/>
    </row>
    <row r="32" spans="1:23" ht="15" thickBot="1" x14ac:dyDescent="0.35"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W32" s="56"/>
    </row>
    <row r="33" spans="1:23" ht="15" thickBot="1" x14ac:dyDescent="0.35">
      <c r="A33" s="57" t="s">
        <v>18</v>
      </c>
      <c r="B33" s="58">
        <f>SUM(B22:B30)+B20+B18</f>
        <v>56</v>
      </c>
      <c r="C33" s="58">
        <f>SUM(C22:C30)+C20+C18</f>
        <v>0</v>
      </c>
      <c r="D33" s="58">
        <f t="shared" ref="D33:S33" si="32">SUM(D22:D30)+D20+D18</f>
        <v>0</v>
      </c>
      <c r="E33" s="58">
        <f t="shared" si="32"/>
        <v>0</v>
      </c>
      <c r="F33" s="58">
        <f t="shared" si="32"/>
        <v>0</v>
      </c>
      <c r="G33" s="58">
        <f t="shared" si="32"/>
        <v>0</v>
      </c>
      <c r="H33" s="58">
        <f t="shared" si="32"/>
        <v>0</v>
      </c>
      <c r="I33" s="58">
        <f t="shared" si="32"/>
        <v>0</v>
      </c>
      <c r="J33" s="58">
        <f t="shared" si="32"/>
        <v>0</v>
      </c>
      <c r="K33" s="58">
        <f t="shared" si="32"/>
        <v>0</v>
      </c>
      <c r="L33" s="58">
        <f t="shared" si="32"/>
        <v>0</v>
      </c>
      <c r="M33" s="58">
        <f t="shared" si="32"/>
        <v>0</v>
      </c>
      <c r="N33" s="58">
        <f t="shared" si="32"/>
        <v>0</v>
      </c>
      <c r="O33" s="58">
        <f t="shared" si="32"/>
        <v>0</v>
      </c>
      <c r="P33" s="58">
        <f t="shared" si="32"/>
        <v>0</v>
      </c>
      <c r="Q33" s="58">
        <f t="shared" si="32"/>
        <v>0</v>
      </c>
      <c r="R33" s="58">
        <f t="shared" si="32"/>
        <v>0</v>
      </c>
      <c r="S33" s="58">
        <f t="shared" si="32"/>
        <v>58</v>
      </c>
      <c r="T33" s="57">
        <f>SUM(T22:T30)+T22+T18</f>
        <v>0</v>
      </c>
      <c r="U33" s="57"/>
      <c r="V33" s="57"/>
      <c r="W33" s="57"/>
    </row>
    <row r="34" spans="1:23" ht="15" thickBot="1" x14ac:dyDescent="0.35">
      <c r="B34" s="59"/>
      <c r="Q34" s="59"/>
      <c r="R34" s="59"/>
    </row>
    <row r="35" spans="1:23" ht="15.6" thickTop="1" thickBot="1" x14ac:dyDescent="0.35">
      <c r="A35" s="109" t="str">
        <f>Start!$A$35</f>
        <v>Übertrag Archiv Vorwoche</v>
      </c>
      <c r="B35" s="144">
        <f>Start!B35</f>
        <v>1496</v>
      </c>
      <c r="P35" s="1" t="s">
        <v>107</v>
      </c>
      <c r="Q35" s="106"/>
      <c r="R35" s="107"/>
      <c r="S35" s="145">
        <f t="shared" ref="S35" si="33">B35+Q35-R35</f>
        <v>1496</v>
      </c>
    </row>
    <row r="36" spans="1:23" ht="15" thickBot="1" x14ac:dyDescent="0.35">
      <c r="P36" s="1" t="s">
        <v>108</v>
      </c>
      <c r="Q36" s="103">
        <f>Q33+Q35</f>
        <v>0</v>
      </c>
      <c r="R36" s="104">
        <f t="shared" ref="R36:S36" si="34">R33+R35</f>
        <v>0</v>
      </c>
      <c r="S36" s="105">
        <f t="shared" si="34"/>
        <v>1554</v>
      </c>
    </row>
    <row r="37" spans="1:23" ht="15" thickTop="1" x14ac:dyDescent="0.3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D7 C9:D12 C14:D15 C20:D20 C22:D24 C26:D28 C30:D30">
    <cfRule type="expression" dxfId="881" priority="127">
      <formula>IF($C$1="altes Jahr",TRUE,FALSE)</formula>
    </cfRule>
  </conditionalFormatting>
  <conditionalFormatting sqref="C5:D7">
    <cfRule type="expression" dxfId="880" priority="151">
      <formula>WEEKDAY($D3,2)&gt;5</formula>
    </cfRule>
  </conditionalFormatting>
  <conditionalFormatting sqref="C9:D12">
    <cfRule type="expression" dxfId="879" priority="139">
      <formula>WEEKDAY($D7,2)&gt;5</formula>
    </cfRule>
  </conditionalFormatting>
  <conditionalFormatting sqref="C14:D15">
    <cfRule type="expression" dxfId="878" priority="137">
      <formula>WEEKDAY($D12,2)&gt;5</formula>
    </cfRule>
  </conditionalFormatting>
  <conditionalFormatting sqref="C20:D20">
    <cfRule type="expression" dxfId="877" priority="135">
      <formula>WEEKDAY($D18,2)&gt;5</formula>
    </cfRule>
  </conditionalFormatting>
  <conditionalFormatting sqref="C22:D24">
    <cfRule type="expression" dxfId="876" priority="133">
      <formula>WEEKDAY($D20,2)&gt;5</formula>
    </cfRule>
  </conditionalFormatting>
  <conditionalFormatting sqref="C26:D28">
    <cfRule type="expression" dxfId="875" priority="131">
      <formula>WEEKDAY($D24,2)&gt;5</formula>
    </cfRule>
  </conditionalFormatting>
  <conditionalFormatting sqref="C30:D30">
    <cfRule type="expression" dxfId="874" priority="129">
      <formula>WEEKDAY($D28,2)&gt;5</formula>
    </cfRule>
  </conditionalFormatting>
  <conditionalFormatting sqref="E5:F7">
    <cfRule type="expression" dxfId="873" priority="124">
      <formula>IF($E$1="altes Jahr",TRUE,FALSE)</formula>
    </cfRule>
  </conditionalFormatting>
  <conditionalFormatting sqref="E5:F7">
    <cfRule type="expression" dxfId="872" priority="126">
      <formula>WEEKDAY($E3,2)&gt;5</formula>
    </cfRule>
  </conditionalFormatting>
  <conditionalFormatting sqref="E9:F12">
    <cfRule type="expression" dxfId="871" priority="121">
      <formula>IF($E$1="altes Jahr",TRUE,FALSE)</formula>
    </cfRule>
  </conditionalFormatting>
  <conditionalFormatting sqref="E9:F12">
    <cfRule type="expression" dxfId="870" priority="123">
      <formula>WEEKDAY($E7,2)&gt;5</formula>
    </cfRule>
  </conditionalFormatting>
  <conditionalFormatting sqref="E14:F15">
    <cfRule type="expression" dxfId="869" priority="118">
      <formula>IF($E$1="altes Jahr",TRUE,FALSE)</formula>
    </cfRule>
  </conditionalFormatting>
  <conditionalFormatting sqref="E14:F15">
    <cfRule type="expression" dxfId="868" priority="120">
      <formula>WEEKDAY($E12,2)&gt;5</formula>
    </cfRule>
  </conditionalFormatting>
  <conditionalFormatting sqref="E20:F20">
    <cfRule type="expression" dxfId="867" priority="115">
      <formula>IF($E$1="altes Jahr",TRUE,FALSE)</formula>
    </cfRule>
  </conditionalFormatting>
  <conditionalFormatting sqref="E20:F20">
    <cfRule type="expression" dxfId="866" priority="117">
      <formula>WEEKDAY($E18,2)&gt;5</formula>
    </cfRule>
  </conditionalFormatting>
  <conditionalFormatting sqref="E22:F24">
    <cfRule type="expression" dxfId="865" priority="112">
      <formula>IF($E$1="altes Jahr",TRUE,FALSE)</formula>
    </cfRule>
  </conditionalFormatting>
  <conditionalFormatting sqref="E22:F24">
    <cfRule type="expression" dxfId="864" priority="114">
      <formula>WEEKDAY($E20,2)&gt;5</formula>
    </cfRule>
  </conditionalFormatting>
  <conditionalFormatting sqref="E26:F28">
    <cfRule type="expression" dxfId="863" priority="109">
      <formula>IF($E$1="altes Jahr",TRUE,FALSE)</formula>
    </cfRule>
  </conditionalFormatting>
  <conditionalFormatting sqref="E26:F28">
    <cfRule type="expression" dxfId="862" priority="111">
      <formula>WEEKDAY($E24,2)&gt;5</formula>
    </cfRule>
  </conditionalFormatting>
  <conditionalFormatting sqref="E30:F30">
    <cfRule type="expression" dxfId="861" priority="106">
      <formula>IF($E$1="altes Jahr",TRUE,FALSE)</formula>
    </cfRule>
  </conditionalFormatting>
  <conditionalFormatting sqref="E30:F30">
    <cfRule type="expression" dxfId="860" priority="108">
      <formula>WEEKDAY($E28,2)&gt;5</formula>
    </cfRule>
  </conditionalFormatting>
  <conditionalFormatting sqref="G5:H7">
    <cfRule type="expression" dxfId="859" priority="103">
      <formula>IF($G$1="altes Jahr",TRUE,FALSE)</formula>
    </cfRule>
  </conditionalFormatting>
  <conditionalFormatting sqref="G5:H7">
    <cfRule type="expression" dxfId="858" priority="105">
      <formula>WEEKDAY($G3,2)&gt;5</formula>
    </cfRule>
  </conditionalFormatting>
  <conditionalFormatting sqref="G9:H12">
    <cfRule type="expression" dxfId="857" priority="100">
      <formula>IF($G$1="altes Jahr",TRUE,FALSE)</formula>
    </cfRule>
  </conditionalFormatting>
  <conditionalFormatting sqref="G9:H12">
    <cfRule type="expression" dxfId="856" priority="102">
      <formula>WEEKDAY($G7,2)&gt;5</formula>
    </cfRule>
  </conditionalFormatting>
  <conditionalFormatting sqref="G14:H15">
    <cfRule type="expression" dxfId="855" priority="97">
      <formula>IF($G$1="altes Jahr",TRUE,FALSE)</formula>
    </cfRule>
  </conditionalFormatting>
  <conditionalFormatting sqref="G14:H15">
    <cfRule type="expression" dxfId="854" priority="99">
      <formula>WEEKDAY($G12,2)&gt;5</formula>
    </cfRule>
  </conditionalFormatting>
  <conditionalFormatting sqref="G20:H20">
    <cfRule type="expression" dxfId="853" priority="94">
      <formula>IF($G$1="altes Jahr",TRUE,FALSE)</formula>
    </cfRule>
  </conditionalFormatting>
  <conditionalFormatting sqref="G20:H20">
    <cfRule type="expression" dxfId="852" priority="96">
      <formula>WEEKDAY($G18,2)&gt;5</formula>
    </cfRule>
  </conditionalFormatting>
  <conditionalFormatting sqref="G22:H24">
    <cfRule type="expression" dxfId="851" priority="91">
      <formula>IF($G$1="altes Jahr",TRUE,FALSE)</formula>
    </cfRule>
  </conditionalFormatting>
  <conditionalFormatting sqref="G22:H24">
    <cfRule type="expression" dxfId="850" priority="93">
      <formula>WEEKDAY($G20,2)&gt;5</formula>
    </cfRule>
  </conditionalFormatting>
  <conditionalFormatting sqref="G26:H28">
    <cfRule type="expression" dxfId="849" priority="88">
      <formula>IF($G$1="altes Jahr",TRUE,FALSE)</formula>
    </cfRule>
  </conditionalFormatting>
  <conditionalFormatting sqref="G26:H28">
    <cfRule type="expression" dxfId="848" priority="90">
      <formula>WEEKDAY($G24,2)&gt;5</formula>
    </cfRule>
  </conditionalFormatting>
  <conditionalFormatting sqref="G30:H30">
    <cfRule type="expression" dxfId="847" priority="85">
      <formula>IF($G$1="altes Jahr",TRUE,FALSE)</formula>
    </cfRule>
  </conditionalFormatting>
  <conditionalFormatting sqref="G30:H30">
    <cfRule type="expression" dxfId="846" priority="87">
      <formula>WEEKDAY($G28,2)&gt;5</formula>
    </cfRule>
  </conditionalFormatting>
  <conditionalFormatting sqref="I5:J7">
    <cfRule type="expression" dxfId="845" priority="82">
      <formula>IF($I$1="altes Jahr",TRUE,FALSE)</formula>
    </cfRule>
  </conditionalFormatting>
  <conditionalFormatting sqref="I5:J7">
    <cfRule type="expression" dxfId="844" priority="84">
      <formula>WEEKDAY($I3,2)&gt;5</formula>
    </cfRule>
  </conditionalFormatting>
  <conditionalFormatting sqref="I9:J12">
    <cfRule type="expression" dxfId="843" priority="79">
      <formula>IF($I$1="altes Jahr",TRUE,FALSE)</formula>
    </cfRule>
  </conditionalFormatting>
  <conditionalFormatting sqref="I9:J12">
    <cfRule type="expression" dxfId="842" priority="81">
      <formula>WEEKDAY($I7,2)&gt;5</formula>
    </cfRule>
  </conditionalFormatting>
  <conditionalFormatting sqref="I14:J15">
    <cfRule type="expression" dxfId="841" priority="76">
      <formula>IF($I$1="altes Jahr",TRUE,FALSE)</formula>
    </cfRule>
  </conditionalFormatting>
  <conditionalFormatting sqref="I14:J15">
    <cfRule type="expression" dxfId="840" priority="78">
      <formula>WEEKDAY($I12,2)&gt;5</formula>
    </cfRule>
  </conditionalFormatting>
  <conditionalFormatting sqref="I20:J20">
    <cfRule type="expression" dxfId="839" priority="73">
      <formula>IF($I$1="altes Jahr",TRUE,FALSE)</formula>
    </cfRule>
  </conditionalFormatting>
  <conditionalFormatting sqref="I20:J20">
    <cfRule type="expression" dxfId="838" priority="75">
      <formula>WEEKDAY($I18,2)&gt;5</formula>
    </cfRule>
  </conditionalFormatting>
  <conditionalFormatting sqref="I22:J24">
    <cfRule type="expression" dxfId="837" priority="70">
      <formula>IF($I$1="altes Jahr",TRUE,FALSE)</formula>
    </cfRule>
  </conditionalFormatting>
  <conditionalFormatting sqref="I22:J24">
    <cfRule type="expression" dxfId="836" priority="72">
      <formula>WEEKDAY($I20,2)&gt;5</formula>
    </cfRule>
  </conditionalFormatting>
  <conditionalFormatting sqref="I26:J28">
    <cfRule type="expression" dxfId="835" priority="67">
      <formula>IF($I$1="altes Jahr",TRUE,FALSE)</formula>
    </cfRule>
  </conditionalFormatting>
  <conditionalFormatting sqref="I26:J28">
    <cfRule type="expression" dxfId="834" priority="69">
      <formula>WEEKDAY($I24,2)&gt;5</formula>
    </cfRule>
  </conditionalFormatting>
  <conditionalFormatting sqref="I30:J30">
    <cfRule type="expression" dxfId="833" priority="64">
      <formula>IF($I$1="altes Jahr",TRUE,FALSE)</formula>
    </cfRule>
  </conditionalFormatting>
  <conditionalFormatting sqref="I30:J30">
    <cfRule type="expression" dxfId="832" priority="66">
      <formula>WEEKDAY($I28,2)&gt;5</formula>
    </cfRule>
  </conditionalFormatting>
  <conditionalFormatting sqref="K5:L7">
    <cfRule type="expression" dxfId="831" priority="61">
      <formula>IF($K$1="altes Jahr",TRUE,FALSE)</formula>
    </cfRule>
  </conditionalFormatting>
  <conditionalFormatting sqref="K5:L7">
    <cfRule type="expression" dxfId="830" priority="63">
      <formula>WEEKDAY($K3,2)&gt;5</formula>
    </cfRule>
  </conditionalFormatting>
  <conditionalFormatting sqref="K9:L12">
    <cfRule type="expression" dxfId="829" priority="58">
      <formula>IF($K$1="altes Jahr",TRUE,FALSE)</formula>
    </cfRule>
  </conditionalFormatting>
  <conditionalFormatting sqref="K9:L12">
    <cfRule type="expression" dxfId="828" priority="60">
      <formula>WEEKDAY($K7,2)&gt;5</formula>
    </cfRule>
  </conditionalFormatting>
  <conditionalFormatting sqref="K14:L15">
    <cfRule type="expression" dxfId="827" priority="55">
      <formula>IF($K$1="altes Jahr",TRUE,FALSE)</formula>
    </cfRule>
  </conditionalFormatting>
  <conditionalFormatting sqref="K14:L15">
    <cfRule type="expression" dxfId="826" priority="57">
      <formula>WEEKDAY($K12,2)&gt;5</formula>
    </cfRule>
  </conditionalFormatting>
  <conditionalFormatting sqref="K20:L20">
    <cfRule type="expression" dxfId="825" priority="52">
      <formula>IF($K$1="altes Jahr",TRUE,FALSE)</formula>
    </cfRule>
  </conditionalFormatting>
  <conditionalFormatting sqref="K20:L20">
    <cfRule type="expression" dxfId="824" priority="54">
      <formula>WEEKDAY($K18,2)&gt;5</formula>
    </cfRule>
  </conditionalFormatting>
  <conditionalFormatting sqref="K22:L24">
    <cfRule type="expression" dxfId="823" priority="49">
      <formula>IF($K$1="altes Jahr",TRUE,FALSE)</formula>
    </cfRule>
  </conditionalFormatting>
  <conditionalFormatting sqref="K22:L24">
    <cfRule type="expression" dxfId="822" priority="51">
      <formula>WEEKDAY($K20,2)&gt;5</formula>
    </cfRule>
  </conditionalFormatting>
  <conditionalFormatting sqref="K26:L28">
    <cfRule type="expression" dxfId="821" priority="46">
      <formula>IF($K$1="altes Jahr",TRUE,FALSE)</formula>
    </cfRule>
  </conditionalFormatting>
  <conditionalFormatting sqref="K26:L28">
    <cfRule type="expression" dxfId="820" priority="48">
      <formula>WEEKDAY($K24,2)&gt;5</formula>
    </cfRule>
  </conditionalFormatting>
  <conditionalFormatting sqref="K30:L30">
    <cfRule type="expression" dxfId="819" priority="43">
      <formula>IF($K$1="altes Jahr",TRUE,FALSE)</formula>
    </cfRule>
  </conditionalFormatting>
  <conditionalFormatting sqref="K30:L30">
    <cfRule type="expression" dxfId="818" priority="45">
      <formula>WEEKDAY($K28,2)&gt;5</formula>
    </cfRule>
  </conditionalFormatting>
  <conditionalFormatting sqref="M5:N7">
    <cfRule type="expression" dxfId="817" priority="40">
      <formula>IF($M$1="altes Jahr",TRUE,FALSE)</formula>
    </cfRule>
  </conditionalFormatting>
  <conditionalFormatting sqref="M5:N7">
    <cfRule type="expression" dxfId="816" priority="42">
      <formula>WEEKDAY($M3,2)&gt;5</formula>
    </cfRule>
  </conditionalFormatting>
  <conditionalFormatting sqref="M9:N12">
    <cfRule type="expression" dxfId="815" priority="37">
      <formula>IF($M$1="altes Jahr",TRUE,FALSE)</formula>
    </cfRule>
  </conditionalFormatting>
  <conditionalFormatting sqref="M9:N12">
    <cfRule type="expression" dxfId="814" priority="39">
      <formula>WEEKDAY($M7,2)&gt;5</formula>
    </cfRule>
  </conditionalFormatting>
  <conditionalFormatting sqref="M14:N15">
    <cfRule type="expression" dxfId="813" priority="34">
      <formula>IF($M$1="altes Jahr",TRUE,FALSE)</formula>
    </cfRule>
  </conditionalFormatting>
  <conditionalFormatting sqref="M14:N15">
    <cfRule type="expression" dxfId="812" priority="36">
      <formula>WEEKDAY($M12,2)&gt;5</formula>
    </cfRule>
  </conditionalFormatting>
  <conditionalFormatting sqref="M20:N20">
    <cfRule type="expression" dxfId="811" priority="31">
      <formula>IF($M$1="altes Jahr",TRUE,FALSE)</formula>
    </cfRule>
  </conditionalFormatting>
  <conditionalFormatting sqref="M20:N20">
    <cfRule type="expression" dxfId="810" priority="33">
      <formula>WEEKDAY($M18,2)&gt;5</formula>
    </cfRule>
  </conditionalFormatting>
  <conditionalFormatting sqref="M22:N24">
    <cfRule type="expression" dxfId="809" priority="28">
      <formula>IF($M$1="altes Jahr",TRUE,FALSE)</formula>
    </cfRule>
  </conditionalFormatting>
  <conditionalFormatting sqref="M22:N24">
    <cfRule type="expression" dxfId="808" priority="30">
      <formula>WEEKDAY($M20,2)&gt;5</formula>
    </cfRule>
  </conditionalFormatting>
  <conditionalFormatting sqref="M26:N28">
    <cfRule type="expression" dxfId="807" priority="25">
      <formula>IF($M$1="altes Jahr",TRUE,FALSE)</formula>
    </cfRule>
  </conditionalFormatting>
  <conditionalFormatting sqref="M26:N28">
    <cfRule type="expression" dxfId="806" priority="27">
      <formula>WEEKDAY($M24,2)&gt;5</formula>
    </cfRule>
  </conditionalFormatting>
  <conditionalFormatting sqref="M30:N30">
    <cfRule type="expression" dxfId="805" priority="22">
      <formula>IF($M$1="altes Jahr",TRUE,FALSE)</formula>
    </cfRule>
  </conditionalFormatting>
  <conditionalFormatting sqref="M30:N30">
    <cfRule type="expression" dxfId="804" priority="24">
      <formula>WEEKDAY($M28,2)&gt;5</formula>
    </cfRule>
  </conditionalFormatting>
  <conditionalFormatting sqref="O5:P7">
    <cfRule type="expression" dxfId="803" priority="19">
      <formula>IF($O$1="altes Jahr",TRUE,FALSE)</formula>
    </cfRule>
  </conditionalFormatting>
  <conditionalFormatting sqref="O5:P7">
    <cfRule type="expression" dxfId="802" priority="21">
      <formula>WEEKDAY($O3,2)&gt;5</formula>
    </cfRule>
  </conditionalFormatting>
  <conditionalFormatting sqref="O9:P12">
    <cfRule type="expression" dxfId="801" priority="16">
      <formula>IF($O$1="altes Jahr",TRUE,FALSE)</formula>
    </cfRule>
  </conditionalFormatting>
  <conditionalFormatting sqref="O9:P12">
    <cfRule type="expression" dxfId="800" priority="18">
      <formula>WEEKDAY($O7,2)&gt;5</formula>
    </cfRule>
  </conditionalFormatting>
  <conditionalFormatting sqref="O14:P15">
    <cfRule type="expression" dxfId="799" priority="13">
      <formula>IF($O$1="altes Jahr",TRUE,FALSE)</formula>
    </cfRule>
  </conditionalFormatting>
  <conditionalFormatting sqref="O14:P15">
    <cfRule type="expression" dxfId="798" priority="15">
      <formula>WEEKDAY($O12,2)&gt;5</formula>
    </cfRule>
  </conditionalFormatting>
  <conditionalFormatting sqref="O20:P20">
    <cfRule type="expression" dxfId="797" priority="10">
      <formula>IF($O$1="altes Jahr",TRUE,FALSE)</formula>
    </cfRule>
  </conditionalFormatting>
  <conditionalFormatting sqref="O20:P20">
    <cfRule type="expression" dxfId="796" priority="12">
      <formula>WEEKDAY($O18,2)&gt;5</formula>
    </cfRule>
  </conditionalFormatting>
  <conditionalFormatting sqref="O22:P24">
    <cfRule type="expression" dxfId="795" priority="7">
      <formula>IF($O$1="altes Jahr",TRUE,FALSE)</formula>
    </cfRule>
  </conditionalFormatting>
  <conditionalFormatting sqref="O22:P24">
    <cfRule type="expression" dxfId="794" priority="9">
      <formula>WEEKDAY($O20,2)&gt;5</formula>
    </cfRule>
  </conditionalFormatting>
  <conditionalFormatting sqref="O26:P28">
    <cfRule type="expression" dxfId="793" priority="4">
      <formula>IF($O$1="altes Jahr",TRUE,FALSE)</formula>
    </cfRule>
  </conditionalFormatting>
  <conditionalFormatting sqref="O26:P28">
    <cfRule type="expression" dxfId="792" priority="6">
      <formula>WEEKDAY($O24,2)&gt;5</formula>
    </cfRule>
  </conditionalFormatting>
  <conditionalFormatting sqref="O30:P30">
    <cfRule type="expression" dxfId="791" priority="1">
      <formula>IF($O$1="altes Jahr",TRUE,FALSE)</formula>
    </cfRule>
  </conditionalFormatting>
  <conditionalFormatting sqref="O30:P30">
    <cfRule type="expression" dxfId="790" priority="3">
      <formula>WEEKDAY($O28,2)&gt;5</formula>
    </cfRule>
  </conditionalFormatting>
  <pageMargins left="0.25" right="0.25" top="0.75" bottom="0.75" header="0.3" footer="0.3"/>
  <pageSetup paperSize="9" orientation="landscape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0" id="{A3F89109-8808-4B5B-9282-FDB100647E20}">
            <xm:f>AND(NOT(OR(ISBLANK($A5),$A5="Summe ")),ISNUMBER(VLOOKUP(C$3,Start!$F$2:$F$22,1,0)))</xm:f>
            <x14:dxf>
              <fill>
                <patternFill>
                  <bgColor theme="5"/>
                </patternFill>
              </fill>
            </x14:dxf>
          </x14:cfRule>
          <xm:sqref>C5:D7</xm:sqref>
        </x14:conditionalFormatting>
        <x14:conditionalFormatting xmlns:xm="http://schemas.microsoft.com/office/excel/2006/main">
          <x14:cfRule type="expression" priority="138" id="{1E8E0556-9A48-4368-81F6-718D1510BF0C}">
            <xm:f>AND(NOT(OR(ISBLANK($A9),$A9="Summe ")),ISNUMBER(VLOOKUP(C$3,Start!$F$2:$F$22,1,0)))</xm:f>
            <x14:dxf>
              <fill>
                <patternFill>
                  <bgColor theme="5"/>
                </patternFill>
              </fill>
            </x14:dxf>
          </x14:cfRule>
          <xm:sqref>C9:D12</xm:sqref>
        </x14:conditionalFormatting>
        <x14:conditionalFormatting xmlns:xm="http://schemas.microsoft.com/office/excel/2006/main">
          <x14:cfRule type="expression" priority="136" id="{A1C462DF-C611-4D56-8DAF-22645ACB1D87}">
            <xm:f>AND(NOT(OR(ISBLANK($A14),$A14="Summe ")),ISNUMBER(VLOOKUP(C$3,Start!$F$2:$F$22,1,0)))</xm:f>
            <x14:dxf>
              <fill>
                <patternFill>
                  <bgColor theme="5"/>
                </patternFill>
              </fill>
            </x14:dxf>
          </x14:cfRule>
          <xm:sqref>C14:D15</xm:sqref>
        </x14:conditionalFormatting>
        <x14:conditionalFormatting xmlns:xm="http://schemas.microsoft.com/office/excel/2006/main">
          <x14:cfRule type="expression" priority="134" id="{F205B7E7-5776-4AF5-8DC2-C4A93553E6F9}">
            <xm:f>AND(NOT(OR(ISBLANK($A20),$A20="Summe ")),ISNUMBER(VLOOKUP(C$3,Start!$F$2:$F$22,1,0)))</xm:f>
            <x14:dxf>
              <fill>
                <patternFill>
                  <bgColor theme="5"/>
                </patternFill>
              </fill>
            </x14:dxf>
          </x14:cfRule>
          <xm:sqref>C20:D20</xm:sqref>
        </x14:conditionalFormatting>
        <x14:conditionalFormatting xmlns:xm="http://schemas.microsoft.com/office/excel/2006/main">
          <x14:cfRule type="expression" priority="132" id="{0D67F778-B046-451C-8FE4-F4E17522CDF8}">
            <xm:f>AND(NOT(OR(ISBLANK($A22),$A22="Summe ")),ISNUMBER(VLOOKUP(C$3,Start!$F$2:$F$22,1,0)))</xm:f>
            <x14:dxf>
              <fill>
                <patternFill>
                  <bgColor theme="5"/>
                </patternFill>
              </fill>
            </x14:dxf>
          </x14:cfRule>
          <xm:sqref>C22:D24</xm:sqref>
        </x14:conditionalFormatting>
        <x14:conditionalFormatting xmlns:xm="http://schemas.microsoft.com/office/excel/2006/main">
          <x14:cfRule type="expression" priority="130" id="{64EB490A-BE5F-4721-A050-32F92826A952}">
            <xm:f>AND(NOT(OR(ISBLANK($A26),$A26="Summe ")),ISNUMBER(VLOOKUP(C$3,Start!$F$2:$F$22,1,0)))</xm:f>
            <x14:dxf>
              <fill>
                <patternFill>
                  <bgColor theme="5"/>
                </patternFill>
              </fill>
            </x14:dxf>
          </x14:cfRule>
          <xm:sqref>C26:D28</xm:sqref>
        </x14:conditionalFormatting>
        <x14:conditionalFormatting xmlns:xm="http://schemas.microsoft.com/office/excel/2006/main">
          <x14:cfRule type="expression" priority="128" id="{D0FBC662-82B1-4A8A-AE5A-921AA5047231}">
            <xm:f>AND(NOT(OR(ISBLANK($A30),$A30="Summe ")),ISNUMBER(VLOOKUP(C$3,Start!$F$2:$F$22,1,0)))</xm:f>
            <x14:dxf>
              <fill>
                <patternFill>
                  <bgColor theme="5"/>
                </patternFill>
              </fill>
            </x14:dxf>
          </x14:cfRule>
          <xm:sqref>C30:D30</xm:sqref>
        </x14:conditionalFormatting>
        <x14:conditionalFormatting xmlns:xm="http://schemas.microsoft.com/office/excel/2006/main">
          <x14:cfRule type="expression" priority="125" id="{6D5AF599-ED61-470F-8C06-D11AB7A5237D}">
            <xm:f>AND(NOT(OR(ISBLANK($A5),$A5="Summe ")),ISNUMBER(VLOOKUP(E$3,Start!$F$2:$F$22,1,0)))</xm:f>
            <x14:dxf>
              <fill>
                <patternFill>
                  <bgColor theme="5"/>
                </patternFill>
              </fill>
            </x14:dxf>
          </x14:cfRule>
          <xm:sqref>E5:F7</xm:sqref>
        </x14:conditionalFormatting>
        <x14:conditionalFormatting xmlns:xm="http://schemas.microsoft.com/office/excel/2006/main">
          <x14:cfRule type="expression" priority="122" id="{005A7587-FFBC-4285-921F-72FC2B2EDB54}">
            <xm:f>AND(NOT(OR(ISBLANK($A9),$A9="Summe ")),ISNUMBER(VLOOKUP(E$3,Start!$F$2:$F$22,1,0)))</xm:f>
            <x14:dxf>
              <fill>
                <patternFill>
                  <bgColor theme="5"/>
                </patternFill>
              </fill>
            </x14:dxf>
          </x14:cfRule>
          <xm:sqref>E9:F12</xm:sqref>
        </x14:conditionalFormatting>
        <x14:conditionalFormatting xmlns:xm="http://schemas.microsoft.com/office/excel/2006/main">
          <x14:cfRule type="expression" priority="119" id="{F01E192C-FA0A-427C-A182-9B6CBEEE60E3}">
            <xm:f>AND(NOT(OR(ISBLANK($A14),$A14="Summe ")),ISNUMBER(VLOOKUP(E$3,Start!$F$2:$F$22,1,0)))</xm:f>
            <x14:dxf>
              <fill>
                <patternFill>
                  <bgColor theme="5"/>
                </patternFill>
              </fill>
            </x14:dxf>
          </x14:cfRule>
          <xm:sqref>E14:F15</xm:sqref>
        </x14:conditionalFormatting>
        <x14:conditionalFormatting xmlns:xm="http://schemas.microsoft.com/office/excel/2006/main">
          <x14:cfRule type="expression" priority="116" id="{BF5460F1-FE0D-4261-8F63-F32D52DBEF4C}">
            <xm:f>AND(NOT(OR(ISBLANK($A20),$A20="Summe ")),ISNUMBER(VLOOKUP(E$3,Start!$F$2:$F$22,1,0)))</xm:f>
            <x14:dxf>
              <fill>
                <patternFill>
                  <bgColor theme="5"/>
                </patternFill>
              </fill>
            </x14:dxf>
          </x14:cfRule>
          <xm:sqref>E20:F20</xm:sqref>
        </x14:conditionalFormatting>
        <x14:conditionalFormatting xmlns:xm="http://schemas.microsoft.com/office/excel/2006/main">
          <x14:cfRule type="expression" priority="113" id="{31DE9A87-BFCC-4A71-8C3E-13830A0C2173}">
            <xm:f>AND(NOT(OR(ISBLANK($A22),$A22="Summe ")),ISNUMBER(VLOOKUP(E$3,Start!$F$2:$F$22,1,0)))</xm:f>
            <x14:dxf>
              <fill>
                <patternFill>
                  <bgColor theme="5"/>
                </patternFill>
              </fill>
            </x14:dxf>
          </x14:cfRule>
          <xm:sqref>E22:F24</xm:sqref>
        </x14:conditionalFormatting>
        <x14:conditionalFormatting xmlns:xm="http://schemas.microsoft.com/office/excel/2006/main">
          <x14:cfRule type="expression" priority="110" id="{E83A0117-9D55-4CDC-B59A-87F437F499B2}">
            <xm:f>AND(NOT(OR(ISBLANK($A26),$A26="Summe ")),ISNUMBER(VLOOKUP(E$3,Start!$F$2:$F$22,1,0)))</xm:f>
            <x14:dxf>
              <fill>
                <patternFill>
                  <bgColor theme="5"/>
                </patternFill>
              </fill>
            </x14:dxf>
          </x14:cfRule>
          <xm:sqref>E26:F28</xm:sqref>
        </x14:conditionalFormatting>
        <x14:conditionalFormatting xmlns:xm="http://schemas.microsoft.com/office/excel/2006/main">
          <x14:cfRule type="expression" priority="107" id="{C6CAE392-6EEF-4477-80DE-21BB9287B74B}">
            <xm:f>AND(NOT(OR(ISBLANK($A30),$A30="Summe ")),ISNUMBER(VLOOKUP(E$3,Start!$F$2:$F$22,1,0)))</xm:f>
            <x14:dxf>
              <fill>
                <patternFill>
                  <bgColor theme="5"/>
                </patternFill>
              </fill>
            </x14:dxf>
          </x14:cfRule>
          <xm:sqref>E30:F30</xm:sqref>
        </x14:conditionalFormatting>
        <x14:conditionalFormatting xmlns:xm="http://schemas.microsoft.com/office/excel/2006/main">
          <x14:cfRule type="expression" priority="104" id="{2641CA1F-360F-45E5-A103-98D1CC67655D}">
            <xm:f>AND(NOT(OR(ISBLANK($A5),$A5="Summe ")),ISNUMBER(VLOOKUP(G$3,Start!$F$2:$F$22,1,0)))</xm:f>
            <x14:dxf>
              <fill>
                <patternFill>
                  <bgColor theme="5"/>
                </patternFill>
              </fill>
            </x14:dxf>
          </x14:cfRule>
          <xm:sqref>G5:H7</xm:sqref>
        </x14:conditionalFormatting>
        <x14:conditionalFormatting xmlns:xm="http://schemas.microsoft.com/office/excel/2006/main">
          <x14:cfRule type="expression" priority="101" id="{28F3E89F-5655-4160-8E41-6F17237C0BC6}">
            <xm:f>AND(NOT(OR(ISBLANK($A9),$A9="Summe ")),ISNUMBER(VLOOKUP(G$3,Start!$F$2:$F$22,1,0)))</xm:f>
            <x14:dxf>
              <fill>
                <patternFill>
                  <bgColor theme="5"/>
                </patternFill>
              </fill>
            </x14:dxf>
          </x14:cfRule>
          <xm:sqref>G9:H12</xm:sqref>
        </x14:conditionalFormatting>
        <x14:conditionalFormatting xmlns:xm="http://schemas.microsoft.com/office/excel/2006/main">
          <x14:cfRule type="expression" priority="98" id="{DADF29FF-37A2-4B08-908A-555D96A6DA3B}">
            <xm:f>AND(NOT(OR(ISBLANK($A14),$A14="Summe ")),ISNUMBER(VLOOKUP(G$3,Start!$F$2:$F$22,1,0)))</xm:f>
            <x14:dxf>
              <fill>
                <patternFill>
                  <bgColor theme="5"/>
                </patternFill>
              </fill>
            </x14:dxf>
          </x14:cfRule>
          <xm:sqref>G14:H15</xm:sqref>
        </x14:conditionalFormatting>
        <x14:conditionalFormatting xmlns:xm="http://schemas.microsoft.com/office/excel/2006/main">
          <x14:cfRule type="expression" priority="95" id="{0C5BD9A3-89F3-40F3-9254-7D27750FBC53}">
            <xm:f>AND(NOT(OR(ISBLANK($A20),$A20="Summe ")),ISNUMBER(VLOOKUP(G$3,Start!$F$2:$F$22,1,0)))</xm:f>
            <x14:dxf>
              <fill>
                <patternFill>
                  <bgColor theme="5"/>
                </patternFill>
              </fill>
            </x14:dxf>
          </x14:cfRule>
          <xm:sqref>G20:H20</xm:sqref>
        </x14:conditionalFormatting>
        <x14:conditionalFormatting xmlns:xm="http://schemas.microsoft.com/office/excel/2006/main">
          <x14:cfRule type="expression" priority="92" id="{1A71A194-B3DD-46A0-BA8A-418C89D9F660}">
            <xm:f>AND(NOT(OR(ISBLANK($A22),$A22="Summe ")),ISNUMBER(VLOOKUP(G$3,Start!$F$2:$F$22,1,0)))</xm:f>
            <x14:dxf>
              <fill>
                <patternFill>
                  <bgColor theme="5"/>
                </patternFill>
              </fill>
            </x14:dxf>
          </x14:cfRule>
          <xm:sqref>G22:H24</xm:sqref>
        </x14:conditionalFormatting>
        <x14:conditionalFormatting xmlns:xm="http://schemas.microsoft.com/office/excel/2006/main">
          <x14:cfRule type="expression" priority="89" id="{673436BD-A0DF-417A-832B-253B926AC950}">
            <xm:f>AND(NOT(OR(ISBLANK($A26),$A26="Summe ")),ISNUMBER(VLOOKUP(G$3,Start!$F$2:$F$22,1,0)))</xm:f>
            <x14:dxf>
              <fill>
                <patternFill>
                  <bgColor theme="5"/>
                </patternFill>
              </fill>
            </x14:dxf>
          </x14:cfRule>
          <xm:sqref>G26:H28</xm:sqref>
        </x14:conditionalFormatting>
        <x14:conditionalFormatting xmlns:xm="http://schemas.microsoft.com/office/excel/2006/main">
          <x14:cfRule type="expression" priority="86" id="{2DE84224-5846-4FB0-919F-8936ED790733}">
            <xm:f>AND(NOT(OR(ISBLANK($A30),$A30="Summe ")),ISNUMBER(VLOOKUP(G$3,Start!$F$2:$F$22,1,0)))</xm:f>
            <x14:dxf>
              <fill>
                <patternFill>
                  <bgColor theme="5"/>
                </patternFill>
              </fill>
            </x14:dxf>
          </x14:cfRule>
          <xm:sqref>G30:H30</xm:sqref>
        </x14:conditionalFormatting>
        <x14:conditionalFormatting xmlns:xm="http://schemas.microsoft.com/office/excel/2006/main">
          <x14:cfRule type="expression" priority="83" id="{90479F42-E9CD-4CA8-85C8-745CB830752D}">
            <xm:f>AND(NOT(OR(ISBLANK($A5),$A5="Summe ")),ISNUMBER(VLOOKUP(I$3,Start!$F$2:$F$22,1,0)))</xm:f>
            <x14:dxf>
              <fill>
                <patternFill>
                  <bgColor theme="5"/>
                </patternFill>
              </fill>
            </x14:dxf>
          </x14:cfRule>
          <xm:sqref>I5:J7</xm:sqref>
        </x14:conditionalFormatting>
        <x14:conditionalFormatting xmlns:xm="http://schemas.microsoft.com/office/excel/2006/main">
          <x14:cfRule type="expression" priority="80" id="{D67D97DB-C26F-4EA7-B089-BBE03FB5F294}">
            <xm:f>AND(NOT(OR(ISBLANK($A9),$A9="Summe ")),ISNUMBER(VLOOKUP(I$3,Start!$F$2:$F$22,1,0)))</xm:f>
            <x14:dxf>
              <fill>
                <patternFill>
                  <bgColor theme="5"/>
                </patternFill>
              </fill>
            </x14:dxf>
          </x14:cfRule>
          <xm:sqref>I9:J12</xm:sqref>
        </x14:conditionalFormatting>
        <x14:conditionalFormatting xmlns:xm="http://schemas.microsoft.com/office/excel/2006/main">
          <x14:cfRule type="expression" priority="77" id="{02B011FB-3842-44BC-A955-280CE41B1E8D}">
            <xm:f>AND(NOT(OR(ISBLANK($A14),$A14="Summe ")),ISNUMBER(VLOOKUP(I$3,Start!$F$2:$F$22,1,0)))</xm:f>
            <x14:dxf>
              <fill>
                <patternFill>
                  <bgColor theme="5"/>
                </patternFill>
              </fill>
            </x14:dxf>
          </x14:cfRule>
          <xm:sqref>I14:J15</xm:sqref>
        </x14:conditionalFormatting>
        <x14:conditionalFormatting xmlns:xm="http://schemas.microsoft.com/office/excel/2006/main">
          <x14:cfRule type="expression" priority="74" id="{5A785CC5-7E6D-4346-9A43-8CC535862455}">
            <xm:f>AND(NOT(OR(ISBLANK($A20),$A20="Summe ")),ISNUMBER(VLOOKUP(I$3,Start!$F$2:$F$22,1,0)))</xm:f>
            <x14:dxf>
              <fill>
                <patternFill>
                  <bgColor theme="5"/>
                </patternFill>
              </fill>
            </x14:dxf>
          </x14:cfRule>
          <xm:sqref>I20:J20</xm:sqref>
        </x14:conditionalFormatting>
        <x14:conditionalFormatting xmlns:xm="http://schemas.microsoft.com/office/excel/2006/main">
          <x14:cfRule type="expression" priority="71" id="{421553F3-33B5-4599-B066-9F69272AD7DF}">
            <xm:f>AND(NOT(OR(ISBLANK($A22),$A22="Summe ")),ISNUMBER(VLOOKUP(I$3,Start!$F$2:$F$22,1,0)))</xm:f>
            <x14:dxf>
              <fill>
                <patternFill>
                  <bgColor theme="5"/>
                </patternFill>
              </fill>
            </x14:dxf>
          </x14:cfRule>
          <xm:sqref>I22:J24</xm:sqref>
        </x14:conditionalFormatting>
        <x14:conditionalFormatting xmlns:xm="http://schemas.microsoft.com/office/excel/2006/main">
          <x14:cfRule type="expression" priority="68" id="{06390976-983D-4EB0-BF08-F447C9461BAF}">
            <xm:f>AND(NOT(OR(ISBLANK($A26),$A26="Summe ")),ISNUMBER(VLOOKUP(I$3,Start!$F$2:$F$22,1,0)))</xm:f>
            <x14:dxf>
              <fill>
                <patternFill>
                  <bgColor theme="5"/>
                </patternFill>
              </fill>
            </x14:dxf>
          </x14:cfRule>
          <xm:sqref>I26:J28</xm:sqref>
        </x14:conditionalFormatting>
        <x14:conditionalFormatting xmlns:xm="http://schemas.microsoft.com/office/excel/2006/main">
          <x14:cfRule type="expression" priority="65" id="{C982BC78-BCE3-45DB-B7DE-D69F2CEA412B}">
            <xm:f>AND(NOT(OR(ISBLANK($A30),$A30="Summe ")),ISNUMBER(VLOOKUP(I$3,Start!$F$2:$F$22,1,0)))</xm:f>
            <x14:dxf>
              <fill>
                <patternFill>
                  <bgColor theme="5"/>
                </patternFill>
              </fill>
            </x14:dxf>
          </x14:cfRule>
          <xm:sqref>I30:J30</xm:sqref>
        </x14:conditionalFormatting>
        <x14:conditionalFormatting xmlns:xm="http://schemas.microsoft.com/office/excel/2006/main">
          <x14:cfRule type="expression" priority="62" id="{AA0FFA48-FF40-4810-9D02-DDAD82F4EF1D}">
            <xm:f>AND(NOT(OR(ISBLANK($A5),$A5="Summe ")),ISNUMBER(VLOOKUP(K$3,Start!$F$2:$F$22,1,0)))</xm:f>
            <x14:dxf>
              <fill>
                <patternFill>
                  <bgColor theme="5"/>
                </patternFill>
              </fill>
            </x14:dxf>
          </x14:cfRule>
          <xm:sqref>K5:L7</xm:sqref>
        </x14:conditionalFormatting>
        <x14:conditionalFormatting xmlns:xm="http://schemas.microsoft.com/office/excel/2006/main">
          <x14:cfRule type="expression" priority="59" id="{128447C8-3CB9-4EC7-9E65-63E33E5EE2D2}">
            <xm:f>AND(NOT(OR(ISBLANK($A9),$A9="Summe ")),ISNUMBER(VLOOKUP(K$3,Start!$F$2:$F$22,1,0)))</xm:f>
            <x14:dxf>
              <fill>
                <patternFill>
                  <bgColor theme="5"/>
                </patternFill>
              </fill>
            </x14:dxf>
          </x14:cfRule>
          <xm:sqref>K9:L12</xm:sqref>
        </x14:conditionalFormatting>
        <x14:conditionalFormatting xmlns:xm="http://schemas.microsoft.com/office/excel/2006/main">
          <x14:cfRule type="expression" priority="56" id="{072D4A35-CF03-4506-9C94-EA981896A84E}">
            <xm:f>AND(NOT(OR(ISBLANK($A14),$A14="Summe ")),ISNUMBER(VLOOKUP(K$3,Start!$F$2:$F$22,1,0)))</xm:f>
            <x14:dxf>
              <fill>
                <patternFill>
                  <bgColor theme="5"/>
                </patternFill>
              </fill>
            </x14:dxf>
          </x14:cfRule>
          <xm:sqref>K14:L15</xm:sqref>
        </x14:conditionalFormatting>
        <x14:conditionalFormatting xmlns:xm="http://schemas.microsoft.com/office/excel/2006/main">
          <x14:cfRule type="expression" priority="53" id="{09F2F588-3AFE-4B03-B6F9-ED71FBE40837}">
            <xm:f>AND(NOT(OR(ISBLANK($A20),$A20="Summe ")),ISNUMBER(VLOOKUP(K$3,Start!$F$2:$F$22,1,0)))</xm:f>
            <x14:dxf>
              <fill>
                <patternFill>
                  <bgColor theme="5"/>
                </patternFill>
              </fill>
            </x14:dxf>
          </x14:cfRule>
          <xm:sqref>K20:L20</xm:sqref>
        </x14:conditionalFormatting>
        <x14:conditionalFormatting xmlns:xm="http://schemas.microsoft.com/office/excel/2006/main">
          <x14:cfRule type="expression" priority="50" id="{F14CEDF3-FF77-42F5-9BE2-3E8D70CB6BAF}">
            <xm:f>AND(NOT(OR(ISBLANK($A22),$A22="Summe ")),ISNUMBER(VLOOKUP(K$3,Start!$F$2:$F$22,1,0)))</xm:f>
            <x14:dxf>
              <fill>
                <patternFill>
                  <bgColor theme="5"/>
                </patternFill>
              </fill>
            </x14:dxf>
          </x14:cfRule>
          <xm:sqref>K22:L24</xm:sqref>
        </x14:conditionalFormatting>
        <x14:conditionalFormatting xmlns:xm="http://schemas.microsoft.com/office/excel/2006/main">
          <x14:cfRule type="expression" priority="47" id="{C8094B63-7887-4754-B37B-21B13FAB5181}">
            <xm:f>AND(NOT(OR(ISBLANK($A26),$A26="Summe ")),ISNUMBER(VLOOKUP(K$3,Start!$F$2:$F$22,1,0)))</xm:f>
            <x14:dxf>
              <fill>
                <patternFill>
                  <bgColor theme="5"/>
                </patternFill>
              </fill>
            </x14:dxf>
          </x14:cfRule>
          <xm:sqref>K26:L28</xm:sqref>
        </x14:conditionalFormatting>
        <x14:conditionalFormatting xmlns:xm="http://schemas.microsoft.com/office/excel/2006/main">
          <x14:cfRule type="expression" priority="44" id="{D893955D-1348-4A8B-843C-948087C2E27D}">
            <xm:f>AND(NOT(OR(ISBLANK($A30),$A30="Summe ")),ISNUMBER(VLOOKUP(K$3,Start!$F$2:$F$22,1,0)))</xm:f>
            <x14:dxf>
              <fill>
                <patternFill>
                  <bgColor theme="5"/>
                </patternFill>
              </fill>
            </x14:dxf>
          </x14:cfRule>
          <xm:sqref>K30:L30</xm:sqref>
        </x14:conditionalFormatting>
        <x14:conditionalFormatting xmlns:xm="http://schemas.microsoft.com/office/excel/2006/main">
          <x14:cfRule type="expression" priority="41" id="{952649C3-B85E-4AC8-AF4F-73EC7F2DABB6}">
            <xm:f>AND(NOT(OR(ISBLANK($A5),$A5="Summe ")),ISNUMBER(VLOOKUP(M$3,Start!$F$2:$F$22,1,0)))</xm:f>
            <x14:dxf>
              <fill>
                <patternFill>
                  <bgColor theme="5"/>
                </patternFill>
              </fill>
            </x14:dxf>
          </x14:cfRule>
          <xm:sqref>M5:N7</xm:sqref>
        </x14:conditionalFormatting>
        <x14:conditionalFormatting xmlns:xm="http://schemas.microsoft.com/office/excel/2006/main">
          <x14:cfRule type="expression" priority="38" id="{55B0F0F7-3CF4-4BB1-AEC8-3BA65D03144F}">
            <xm:f>AND(NOT(OR(ISBLANK($A9),$A9="Summe ")),ISNUMBER(VLOOKUP(M$3,Start!$F$2:$F$22,1,0)))</xm:f>
            <x14:dxf>
              <fill>
                <patternFill>
                  <bgColor theme="5"/>
                </patternFill>
              </fill>
            </x14:dxf>
          </x14:cfRule>
          <xm:sqref>M9:N12</xm:sqref>
        </x14:conditionalFormatting>
        <x14:conditionalFormatting xmlns:xm="http://schemas.microsoft.com/office/excel/2006/main">
          <x14:cfRule type="expression" priority="35" id="{F36DBD2A-FD6A-46D6-B707-0A310C71AC28}">
            <xm:f>AND(NOT(OR(ISBLANK($A14),$A14="Summe ")),ISNUMBER(VLOOKUP(M$3,Start!$F$2:$F$22,1,0)))</xm:f>
            <x14:dxf>
              <fill>
                <patternFill>
                  <bgColor theme="5"/>
                </patternFill>
              </fill>
            </x14:dxf>
          </x14:cfRule>
          <xm:sqref>M14:N15</xm:sqref>
        </x14:conditionalFormatting>
        <x14:conditionalFormatting xmlns:xm="http://schemas.microsoft.com/office/excel/2006/main">
          <x14:cfRule type="expression" priority="32" id="{590AE7F9-5855-4A1B-A850-80A8421804B4}">
            <xm:f>AND(NOT(OR(ISBLANK($A20),$A20="Summe ")),ISNUMBER(VLOOKUP(M$3,Start!$F$2:$F$22,1,0)))</xm:f>
            <x14:dxf>
              <fill>
                <patternFill>
                  <bgColor theme="5"/>
                </patternFill>
              </fill>
            </x14:dxf>
          </x14:cfRule>
          <xm:sqref>M20:N20</xm:sqref>
        </x14:conditionalFormatting>
        <x14:conditionalFormatting xmlns:xm="http://schemas.microsoft.com/office/excel/2006/main">
          <x14:cfRule type="expression" priority="29" id="{80A5926B-92F3-4EB2-A6FC-F3DC7AE41FA3}">
            <xm:f>AND(NOT(OR(ISBLANK($A22),$A22="Summe ")),ISNUMBER(VLOOKUP(M$3,Start!$F$2:$F$22,1,0)))</xm:f>
            <x14:dxf>
              <fill>
                <patternFill>
                  <bgColor theme="5"/>
                </patternFill>
              </fill>
            </x14:dxf>
          </x14:cfRule>
          <xm:sqref>M22:N24</xm:sqref>
        </x14:conditionalFormatting>
        <x14:conditionalFormatting xmlns:xm="http://schemas.microsoft.com/office/excel/2006/main">
          <x14:cfRule type="expression" priority="26" id="{F377CCBF-3DE4-42AA-918B-A82497FD0C08}">
            <xm:f>AND(NOT(OR(ISBLANK($A26),$A26="Summe ")),ISNUMBER(VLOOKUP(M$3,Start!$F$2:$F$22,1,0)))</xm:f>
            <x14:dxf>
              <fill>
                <patternFill>
                  <bgColor theme="5"/>
                </patternFill>
              </fill>
            </x14:dxf>
          </x14:cfRule>
          <xm:sqref>M26:N28</xm:sqref>
        </x14:conditionalFormatting>
        <x14:conditionalFormatting xmlns:xm="http://schemas.microsoft.com/office/excel/2006/main">
          <x14:cfRule type="expression" priority="23" id="{8D71D2B2-14CF-4AA8-B85F-1A31B846FF17}">
            <xm:f>AND(NOT(OR(ISBLANK($A30),$A30="Summe ")),ISNUMBER(VLOOKUP(M$3,Start!$F$2:$F$22,1,0)))</xm:f>
            <x14:dxf>
              <fill>
                <patternFill>
                  <bgColor theme="5"/>
                </patternFill>
              </fill>
            </x14:dxf>
          </x14:cfRule>
          <xm:sqref>M30:N30</xm:sqref>
        </x14:conditionalFormatting>
        <x14:conditionalFormatting xmlns:xm="http://schemas.microsoft.com/office/excel/2006/main">
          <x14:cfRule type="expression" priority="20" id="{960E69EE-7B4A-4F3A-A5D2-85E711802F1B}">
            <xm:f>AND(NOT(OR(ISBLANK($A5),$A5="Summe ")),ISNUMBER(VLOOKUP(O$3,Start!$F$2:$F$22,1,0)))</xm:f>
            <x14:dxf>
              <fill>
                <patternFill>
                  <bgColor theme="5"/>
                </patternFill>
              </fill>
            </x14:dxf>
          </x14:cfRule>
          <xm:sqref>O5:P7</xm:sqref>
        </x14:conditionalFormatting>
        <x14:conditionalFormatting xmlns:xm="http://schemas.microsoft.com/office/excel/2006/main">
          <x14:cfRule type="expression" priority="17" id="{0F5B7C6D-04AD-40BD-A921-9353BBDE73F4}">
            <xm:f>AND(NOT(OR(ISBLANK($A9),$A9="Summe ")),ISNUMBER(VLOOKUP(O$3,Start!$F$2:$F$22,1,0)))</xm:f>
            <x14:dxf>
              <fill>
                <patternFill>
                  <bgColor theme="5"/>
                </patternFill>
              </fill>
            </x14:dxf>
          </x14:cfRule>
          <xm:sqref>O9:P12</xm:sqref>
        </x14:conditionalFormatting>
        <x14:conditionalFormatting xmlns:xm="http://schemas.microsoft.com/office/excel/2006/main">
          <x14:cfRule type="expression" priority="14" id="{1BBDA42F-CE70-49AB-833A-C4B5E7E66C27}">
            <xm:f>AND(NOT(OR(ISBLANK($A14),$A14="Summe ")),ISNUMBER(VLOOKUP(O$3,Start!$F$2:$F$22,1,0)))</xm:f>
            <x14:dxf>
              <fill>
                <patternFill>
                  <bgColor theme="5"/>
                </patternFill>
              </fill>
            </x14:dxf>
          </x14:cfRule>
          <xm:sqref>O14:P15</xm:sqref>
        </x14:conditionalFormatting>
        <x14:conditionalFormatting xmlns:xm="http://schemas.microsoft.com/office/excel/2006/main">
          <x14:cfRule type="expression" priority="11" id="{0724D6F3-6E39-45E8-AEDA-7DF0AB8460C1}">
            <xm:f>AND(NOT(OR(ISBLANK($A20),$A20="Summe ")),ISNUMBER(VLOOKUP(O$3,Start!$F$2:$F$22,1,0)))</xm:f>
            <x14:dxf>
              <fill>
                <patternFill>
                  <bgColor theme="5"/>
                </patternFill>
              </fill>
            </x14:dxf>
          </x14:cfRule>
          <xm:sqref>O20:P20</xm:sqref>
        </x14:conditionalFormatting>
        <x14:conditionalFormatting xmlns:xm="http://schemas.microsoft.com/office/excel/2006/main">
          <x14:cfRule type="expression" priority="8" id="{759BEF72-87FC-4C5B-B123-546B7778A439}">
            <xm:f>AND(NOT(OR(ISBLANK($A22),$A22="Summe ")),ISNUMBER(VLOOKUP(O$3,Start!$F$2:$F$22,1,0)))</xm:f>
            <x14:dxf>
              <fill>
                <patternFill>
                  <bgColor theme="5"/>
                </patternFill>
              </fill>
            </x14:dxf>
          </x14:cfRule>
          <xm:sqref>O22:P24</xm:sqref>
        </x14:conditionalFormatting>
        <x14:conditionalFormatting xmlns:xm="http://schemas.microsoft.com/office/excel/2006/main">
          <x14:cfRule type="expression" priority="5" id="{F1ED80F0-1D5A-4ECF-87F9-1B27C486D49F}">
            <xm:f>AND(NOT(OR(ISBLANK($A26),$A26="Summe ")),ISNUMBER(VLOOKUP(O$3,Start!$F$2:$F$22,1,0)))</xm:f>
            <x14:dxf>
              <fill>
                <patternFill>
                  <bgColor theme="5"/>
                </patternFill>
              </fill>
            </x14:dxf>
          </x14:cfRule>
          <xm:sqref>O26:P28</xm:sqref>
        </x14:conditionalFormatting>
        <x14:conditionalFormatting xmlns:xm="http://schemas.microsoft.com/office/excel/2006/main">
          <x14:cfRule type="expression" priority="2" id="{294BB7DC-8C30-4CF8-8965-811899403461}">
            <xm:f>AND(NOT(OR(ISBLANK($A30),$A30="Summe ")),ISNUMBER(VLOOKUP(O$3,Start!$F$2:$F$22,1,0)))</xm:f>
            <x14:dxf>
              <fill>
                <patternFill>
                  <bgColor theme="5"/>
                </patternFill>
              </fill>
            </x14:dxf>
          </x14:cfRule>
          <xm:sqref>O30:P30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/>
  <dimension ref="A1:U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1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77" t="s">
        <v>20</v>
      </c>
      <c r="B3" s="181" t="s">
        <v>21</v>
      </c>
      <c r="C3" s="91">
        <f>'KW 1'!$C$3+182</f>
        <v>44382</v>
      </c>
      <c r="D3" s="92">
        <f>C3</f>
        <v>44382</v>
      </c>
      <c r="E3" s="91">
        <f>C3+1</f>
        <v>44383</v>
      </c>
      <c r="F3" s="92">
        <f>E3</f>
        <v>44383</v>
      </c>
      <c r="G3" s="91">
        <f>C3+2</f>
        <v>44384</v>
      </c>
      <c r="H3" s="92">
        <f>G3</f>
        <v>44384</v>
      </c>
      <c r="I3" s="91">
        <f>C3+3</f>
        <v>44385</v>
      </c>
      <c r="J3" s="92">
        <f>I3</f>
        <v>44385</v>
      </c>
      <c r="K3" s="91">
        <f>C3+4</f>
        <v>44386</v>
      </c>
      <c r="L3" s="92">
        <f>K3</f>
        <v>44386</v>
      </c>
      <c r="M3" s="91">
        <f>C3+5</f>
        <v>44387</v>
      </c>
      <c r="N3" s="92">
        <f>M3</f>
        <v>44387</v>
      </c>
      <c r="O3" s="91">
        <f>C3+6</f>
        <v>44388</v>
      </c>
      <c r="P3" s="92">
        <f>O3</f>
        <v>44388</v>
      </c>
      <c r="Q3" s="14" t="s">
        <v>0</v>
      </c>
      <c r="R3" s="15" t="s">
        <v>0</v>
      </c>
      <c r="S3" s="177" t="s">
        <v>1</v>
      </c>
      <c r="T3" s="177" t="s">
        <v>2</v>
      </c>
      <c r="U3" s="175" t="s">
        <v>4</v>
      </c>
    </row>
    <row r="4" spans="1:21" ht="15" thickBot="1" x14ac:dyDescent="0.35">
      <c r="A4" s="178"/>
      <c r="B4" s="182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76"/>
    </row>
    <row r="5" spans="1:21" x14ac:dyDescent="0.3">
      <c r="A5" s="19" t="str">
        <f>Start!A5</f>
        <v>Postbearbeitung Bestand</v>
      </c>
      <c r="B5" s="134">
        <f>'KW 26'!S5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5">
        <f>'KW 26'!S6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6">
        <f>'KW 26'!S7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5">
        <f>'KW 26'!S9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5">
        <f>'KW 26'!S10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5">
        <f>'KW 26'!S11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5">
        <f>'KW 26'!S12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5">
        <f>'KW 26'!S14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" thickBot="1" x14ac:dyDescent="0.35">
      <c r="A15" s="29" t="str">
        <f>Start!A15</f>
        <v>Einfachaufträge</v>
      </c>
      <c r="B15" s="135">
        <f>'KW 26'!S15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5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5">
        <f>'KW 26'!S17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39">
        <f>'KW 26'!S20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4">
        <f>'KW 26'!S22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5">
        <f>'KW 26'!S23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6">
        <f>'KW 26'!S24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4">
        <f>'KW 26'!S26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5">
        <f>'KW 26'!S27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6">
        <f>'KW 26'!S28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39">
        <f>'KW 26'!S30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4">
        <f>'KW 26'!S35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mergeCells count="5">
    <mergeCell ref="U3:U4"/>
    <mergeCell ref="A3:A4"/>
    <mergeCell ref="B3:B4"/>
    <mergeCell ref="S3:S4"/>
    <mergeCell ref="T3:T4"/>
  </mergeCells>
  <conditionalFormatting sqref="C5:P7 M9:P10">
    <cfRule type="expression" dxfId="431" priority="12">
      <formula>Wochetag($C$3:$P$3,2)&gt;5</formula>
    </cfRule>
  </conditionalFormatting>
  <conditionalFormatting sqref="K25:L25 K29:L29">
    <cfRule type="expression" dxfId="430" priority="11">
      <formula>Wochetag($C$3:$P$3,2)&gt;5</formula>
    </cfRule>
  </conditionalFormatting>
  <conditionalFormatting sqref="C25:J25 C29:J29">
    <cfRule type="expression" dxfId="429" priority="10">
      <formula>Wochetag($C$3:$P$3,2)&gt;5</formula>
    </cfRule>
  </conditionalFormatting>
  <conditionalFormatting sqref="M29:P29">
    <cfRule type="expression" dxfId="428" priority="9">
      <formula>Wochetag($C$3:$P$3,2)&gt;5</formula>
    </cfRule>
  </conditionalFormatting>
  <conditionalFormatting sqref="M11:P11">
    <cfRule type="expression" dxfId="427" priority="8">
      <formula>Wochetag($C$3:$P$3,2)&gt;5</formula>
    </cfRule>
  </conditionalFormatting>
  <conditionalFormatting sqref="C9:L12">
    <cfRule type="expression" dxfId="426" priority="7">
      <formula>Wochetag($C$3:$P$3,2)&gt;5</formula>
    </cfRule>
  </conditionalFormatting>
  <conditionalFormatting sqref="C14:L15">
    <cfRule type="expression" dxfId="425" priority="6">
      <formula>Wochetag($C$3:$P$3,2)&gt;5</formula>
    </cfRule>
  </conditionalFormatting>
  <conditionalFormatting sqref="C17:L17">
    <cfRule type="expression" dxfId="424" priority="5">
      <formula>Wochetag($C$3:$P$3,2)&gt;5</formula>
    </cfRule>
  </conditionalFormatting>
  <conditionalFormatting sqref="C20:L20">
    <cfRule type="expression" dxfId="423" priority="4">
      <formula>Wochetag($C$3:$P$3,2)&gt;5</formula>
    </cfRule>
  </conditionalFormatting>
  <conditionalFormatting sqref="C22:L24">
    <cfRule type="expression" dxfId="422" priority="3">
      <formula>Wochetag($C$3:$P$3,2)&gt;5</formula>
    </cfRule>
  </conditionalFormatting>
  <conditionalFormatting sqref="C26:L28">
    <cfRule type="expression" dxfId="421" priority="2">
      <formula>Wochetag($C$3:$P$3,2)&gt;5</formula>
    </cfRule>
  </conditionalFormatting>
  <conditionalFormatting sqref="C30:L30">
    <cfRule type="expression" dxfId="420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/>
  <dimension ref="A1:U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1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77" t="s">
        <v>20</v>
      </c>
      <c r="B3" s="181" t="s">
        <v>21</v>
      </c>
      <c r="C3" s="91">
        <f>'KW 1'!$C$3+189</f>
        <v>44389</v>
      </c>
      <c r="D3" s="92">
        <f>C3</f>
        <v>44389</v>
      </c>
      <c r="E3" s="91">
        <f>C3+1</f>
        <v>44390</v>
      </c>
      <c r="F3" s="92">
        <f>E3</f>
        <v>44390</v>
      </c>
      <c r="G3" s="91">
        <f>C3+2</f>
        <v>44391</v>
      </c>
      <c r="H3" s="92">
        <f>G3</f>
        <v>44391</v>
      </c>
      <c r="I3" s="91">
        <f>C3+3</f>
        <v>44392</v>
      </c>
      <c r="J3" s="92">
        <f>I3</f>
        <v>44392</v>
      </c>
      <c r="K3" s="91">
        <f>C3+4</f>
        <v>44393</v>
      </c>
      <c r="L3" s="92">
        <f>K3</f>
        <v>44393</v>
      </c>
      <c r="M3" s="91">
        <f>C3+5</f>
        <v>44394</v>
      </c>
      <c r="N3" s="92">
        <f>M3</f>
        <v>44394</v>
      </c>
      <c r="O3" s="91">
        <f>C3+6</f>
        <v>44395</v>
      </c>
      <c r="P3" s="92">
        <f>O3</f>
        <v>44395</v>
      </c>
      <c r="Q3" s="14" t="s">
        <v>0</v>
      </c>
      <c r="R3" s="15" t="s">
        <v>0</v>
      </c>
      <c r="S3" s="177" t="s">
        <v>1</v>
      </c>
      <c r="T3" s="177" t="s">
        <v>2</v>
      </c>
      <c r="U3" s="175" t="s">
        <v>4</v>
      </c>
    </row>
    <row r="4" spans="1:21" ht="15" thickBot="1" x14ac:dyDescent="0.35">
      <c r="A4" s="178"/>
      <c r="B4" s="182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76"/>
    </row>
    <row r="5" spans="1:21" x14ac:dyDescent="0.3">
      <c r="A5" s="19" t="str">
        <f>Start!A5</f>
        <v>Postbearbeitung Bestand</v>
      </c>
      <c r="B5" s="134">
        <f>'KW 27'!S5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5">
        <f>'KW 27'!S6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6">
        <f>'KW 27'!S7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5">
        <f>'KW 27'!S9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5">
        <f>'KW 27'!S10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5">
        <f>'KW 27'!S11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5">
        <f>'KW 27'!S12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5">
        <f>'KW 27'!S14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" thickBot="1" x14ac:dyDescent="0.35">
      <c r="A15" s="29" t="str">
        <f>Start!A15</f>
        <v>Einfachaufträge</v>
      </c>
      <c r="B15" s="135">
        <f>'KW 27'!S15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5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5">
        <f>'KW 27'!S17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39">
        <f>'KW 27'!S20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32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4">
        <f>'KW 27'!S22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5">
        <f>'KW 27'!S23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6">
        <f>'KW 27'!S24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4">
        <f>'KW 27'!S26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5">
        <f>'KW 27'!S27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6">
        <f>'KW 27'!S28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39">
        <f>'KW 27'!S30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4">
        <f>'KW 27'!S35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419" priority="12">
      <formula>Wochetag($C$3:$P$3,2)&gt;5</formula>
    </cfRule>
  </conditionalFormatting>
  <conditionalFormatting sqref="K25:L25 K29:L29">
    <cfRule type="expression" dxfId="418" priority="11">
      <formula>Wochetag($C$3:$P$3,2)&gt;5</formula>
    </cfRule>
  </conditionalFormatting>
  <conditionalFormatting sqref="C25:J25 C29:J29">
    <cfRule type="expression" dxfId="417" priority="10">
      <formula>Wochetag($C$3:$P$3,2)&gt;5</formula>
    </cfRule>
  </conditionalFormatting>
  <conditionalFormatting sqref="M29:P29">
    <cfRule type="expression" dxfId="416" priority="9">
      <formula>Wochetag($C$3:$P$3,2)&gt;5</formula>
    </cfRule>
  </conditionalFormatting>
  <conditionalFormatting sqref="M11:P11">
    <cfRule type="expression" dxfId="415" priority="8">
      <formula>Wochetag($C$3:$P$3,2)&gt;5</formula>
    </cfRule>
  </conditionalFormatting>
  <conditionalFormatting sqref="C9:L12">
    <cfRule type="expression" dxfId="414" priority="7">
      <formula>Wochetag($C$3:$P$3,2)&gt;5</formula>
    </cfRule>
  </conditionalFormatting>
  <conditionalFormatting sqref="C14:L15">
    <cfRule type="expression" dxfId="413" priority="6">
      <formula>Wochetag($C$3:$P$3,2)&gt;5</formula>
    </cfRule>
  </conditionalFormatting>
  <conditionalFormatting sqref="C17:L17">
    <cfRule type="expression" dxfId="412" priority="5">
      <formula>Wochetag($C$3:$P$3,2)&gt;5</formula>
    </cfRule>
  </conditionalFormatting>
  <conditionalFormatting sqref="C20:L20">
    <cfRule type="expression" dxfId="411" priority="4">
      <formula>Wochetag($C$3:$P$3,2)&gt;5</formula>
    </cfRule>
  </conditionalFormatting>
  <conditionalFormatting sqref="C22:L24">
    <cfRule type="expression" dxfId="410" priority="3">
      <formula>Wochetag($C$3:$P$3,2)&gt;5</formula>
    </cfRule>
  </conditionalFormatting>
  <conditionalFormatting sqref="C26:L28">
    <cfRule type="expression" dxfId="409" priority="2">
      <formula>Wochetag($C$3:$P$3,2)&gt;5</formula>
    </cfRule>
  </conditionalFormatting>
  <conditionalFormatting sqref="C30:L30">
    <cfRule type="expression" dxfId="408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/>
  <dimension ref="A1:U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1" style="2" customWidth="1"/>
    <col min="17" max="18" width="9.77734375" style="2" customWidth="1"/>
    <col min="19" max="16384" width="10.5546875" style="2"/>
  </cols>
  <sheetData>
    <row r="1" spans="1:21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77" t="s">
        <v>20</v>
      </c>
      <c r="B3" s="181" t="s">
        <v>21</v>
      </c>
      <c r="C3" s="91">
        <f>'KW 1'!$C$3+196</f>
        <v>44396</v>
      </c>
      <c r="D3" s="92">
        <f>C3</f>
        <v>44396</v>
      </c>
      <c r="E3" s="91">
        <f>C3+1</f>
        <v>44397</v>
      </c>
      <c r="F3" s="92">
        <f>E3</f>
        <v>44397</v>
      </c>
      <c r="G3" s="91">
        <f>C3+2</f>
        <v>44398</v>
      </c>
      <c r="H3" s="92">
        <f>G3</f>
        <v>44398</v>
      </c>
      <c r="I3" s="91">
        <f>C3+3</f>
        <v>44399</v>
      </c>
      <c r="J3" s="92">
        <f>I3</f>
        <v>44399</v>
      </c>
      <c r="K3" s="91">
        <f>C3+4</f>
        <v>44400</v>
      </c>
      <c r="L3" s="92">
        <f>K3</f>
        <v>44400</v>
      </c>
      <c r="M3" s="91">
        <f>C3+5</f>
        <v>44401</v>
      </c>
      <c r="N3" s="92">
        <f>M3</f>
        <v>44401</v>
      </c>
      <c r="O3" s="91">
        <f>C3+6</f>
        <v>44402</v>
      </c>
      <c r="P3" s="92">
        <f>O3</f>
        <v>44402</v>
      </c>
      <c r="Q3" s="14" t="s">
        <v>0</v>
      </c>
      <c r="R3" s="15" t="s">
        <v>0</v>
      </c>
      <c r="S3" s="177" t="s">
        <v>1</v>
      </c>
      <c r="T3" s="177" t="s">
        <v>2</v>
      </c>
      <c r="U3" s="175" t="s">
        <v>4</v>
      </c>
    </row>
    <row r="4" spans="1:21" ht="15" thickBot="1" x14ac:dyDescent="0.35">
      <c r="A4" s="178"/>
      <c r="B4" s="182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76"/>
    </row>
    <row r="5" spans="1:21" x14ac:dyDescent="0.3">
      <c r="A5" s="19" t="str">
        <f>Start!A5</f>
        <v>Postbearbeitung Bestand</v>
      </c>
      <c r="B5" s="134">
        <f>'KW 28'!S5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5">
        <f>'KW 28'!S6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6">
        <f>'KW 28'!S7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5">
        <f>'KW 28'!S9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5">
        <f>'KW 28'!S10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5">
        <f>'KW 28'!S11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5">
        <f>'KW 28'!S12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5">
        <f>'KW 28'!S14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" thickBot="1" x14ac:dyDescent="0.35">
      <c r="A15" s="29" t="str">
        <f>Start!A15</f>
        <v>Einfachaufträge</v>
      </c>
      <c r="B15" s="135">
        <f>'KW 28'!S15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5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5">
        <f>'KW 28'!S17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39">
        <f>'KW 28'!S20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4">
        <f>'KW 28'!S22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5">
        <f>'KW 28'!S23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6">
        <f>'KW 28'!S24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4">
        <f>'KW 28'!S26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5">
        <f>'KW 28'!S27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6">
        <f>'KW 28'!S28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39">
        <f>'KW 28'!S30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4">
        <f>'KW 28'!S35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407" priority="12">
      <formula>Wochetag($C$3:$P$3,2)&gt;5</formula>
    </cfRule>
  </conditionalFormatting>
  <conditionalFormatting sqref="K25:L25 K29:L29">
    <cfRule type="expression" dxfId="406" priority="11">
      <formula>Wochetag($C$3:$P$3,2)&gt;5</formula>
    </cfRule>
  </conditionalFormatting>
  <conditionalFormatting sqref="C25:J25 C29:J29">
    <cfRule type="expression" dxfId="405" priority="10">
      <formula>Wochetag($C$3:$P$3,2)&gt;5</formula>
    </cfRule>
  </conditionalFormatting>
  <conditionalFormatting sqref="M29:P29">
    <cfRule type="expression" dxfId="404" priority="9">
      <formula>Wochetag($C$3:$P$3,2)&gt;5</formula>
    </cfRule>
  </conditionalFormatting>
  <conditionalFormatting sqref="M11:P11">
    <cfRule type="expression" dxfId="403" priority="8">
      <formula>Wochetag($C$3:$P$3,2)&gt;5</formula>
    </cfRule>
  </conditionalFormatting>
  <conditionalFormatting sqref="C9:L12">
    <cfRule type="expression" dxfId="402" priority="7">
      <formula>Wochetag($C$3:$P$3,2)&gt;5</formula>
    </cfRule>
  </conditionalFormatting>
  <conditionalFormatting sqref="C14:L15">
    <cfRule type="expression" dxfId="401" priority="6">
      <formula>Wochetag($C$3:$P$3,2)&gt;5</formula>
    </cfRule>
  </conditionalFormatting>
  <conditionalFormatting sqref="C17:L17">
    <cfRule type="expression" dxfId="400" priority="5">
      <formula>Wochetag($C$3:$P$3,2)&gt;5</formula>
    </cfRule>
  </conditionalFormatting>
  <conditionalFormatting sqref="C20:L20">
    <cfRule type="expression" dxfId="399" priority="4">
      <formula>Wochetag($C$3:$P$3,2)&gt;5</formula>
    </cfRule>
  </conditionalFormatting>
  <conditionalFormatting sqref="C22:L24">
    <cfRule type="expression" dxfId="398" priority="3">
      <formula>Wochetag($C$3:$P$3,2)&gt;5</formula>
    </cfRule>
  </conditionalFormatting>
  <conditionalFormatting sqref="C26:L28">
    <cfRule type="expression" dxfId="397" priority="2">
      <formula>Wochetag($C$3:$P$3,2)&gt;5</formula>
    </cfRule>
  </conditionalFormatting>
  <conditionalFormatting sqref="C30:L30">
    <cfRule type="expression" dxfId="396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/>
  <dimension ref="A1:U37"/>
  <sheetViews>
    <sheetView workbookViewId="0">
      <selection activeCell="E3" sqref="E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1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77" t="s">
        <v>20</v>
      </c>
      <c r="B3" s="181" t="s">
        <v>21</v>
      </c>
      <c r="C3" s="91">
        <f>'KW 1'!$C$3+203</f>
        <v>44403</v>
      </c>
      <c r="D3" s="92">
        <f>C3</f>
        <v>44403</v>
      </c>
      <c r="E3" s="91">
        <f>C3+1</f>
        <v>44404</v>
      </c>
      <c r="F3" s="92">
        <f>E3</f>
        <v>44404</v>
      </c>
      <c r="G3" s="91">
        <f>C3+2</f>
        <v>44405</v>
      </c>
      <c r="H3" s="92">
        <f>G3</f>
        <v>44405</v>
      </c>
      <c r="I3" s="91">
        <f>C3+3</f>
        <v>44406</v>
      </c>
      <c r="J3" s="92">
        <f>I3</f>
        <v>44406</v>
      </c>
      <c r="K3" s="91">
        <f>C3+4</f>
        <v>44407</v>
      </c>
      <c r="L3" s="92">
        <f>K3</f>
        <v>44407</v>
      </c>
      <c r="M3" s="91">
        <f>C3+5</f>
        <v>44408</v>
      </c>
      <c r="N3" s="92">
        <f>M3</f>
        <v>44408</v>
      </c>
      <c r="O3" s="91">
        <f>C3+6</f>
        <v>44409</v>
      </c>
      <c r="P3" s="92">
        <f>O3</f>
        <v>44409</v>
      </c>
      <c r="Q3" s="14" t="s">
        <v>0</v>
      </c>
      <c r="R3" s="15" t="s">
        <v>0</v>
      </c>
      <c r="S3" s="177" t="s">
        <v>1</v>
      </c>
      <c r="T3" s="177" t="s">
        <v>2</v>
      </c>
      <c r="U3" s="175" t="s">
        <v>4</v>
      </c>
    </row>
    <row r="4" spans="1:21" ht="15" thickBot="1" x14ac:dyDescent="0.35">
      <c r="A4" s="178"/>
      <c r="B4" s="182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76"/>
    </row>
    <row r="5" spans="1:21" x14ac:dyDescent="0.3">
      <c r="A5" s="19" t="str">
        <f>Start!A5</f>
        <v>Postbearbeitung Bestand</v>
      </c>
      <c r="B5" s="134">
        <f>'KW 29'!S5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 t="shared" ref="Q5:R7" si="0">C5+E5+G5+I5+K5+M5+O5</f>
        <v>0</v>
      </c>
      <c r="R5" s="21">
        <f t="shared" si="0"/>
        <v>0</v>
      </c>
      <c r="S5" s="22">
        <f>B5+Q5-R5</f>
        <v>0</v>
      </c>
      <c r="T5" s="22">
        <f>R5/5</f>
        <v>0</v>
      </c>
      <c r="U5" s="23">
        <f t="shared" ref="U5:U30" si="1">Q5/5</f>
        <v>0</v>
      </c>
    </row>
    <row r="6" spans="1:21" x14ac:dyDescent="0.3">
      <c r="A6" s="24" t="str">
        <f>Start!A6</f>
        <v>Mailbox</v>
      </c>
      <c r="B6" s="135">
        <f>'KW 29'!S6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si="0"/>
        <v>0</v>
      </c>
      <c r="R6" s="26">
        <f t="shared" si="0"/>
        <v>0</v>
      </c>
      <c r="S6" s="27">
        <f>B6+Q6-R6</f>
        <v>0</v>
      </c>
      <c r="T6" s="27">
        <f t="shared" ref="T6:T7" si="2">R6/5</f>
        <v>0</v>
      </c>
      <c r="U6" s="28">
        <f t="shared" si="1"/>
        <v>0</v>
      </c>
    </row>
    <row r="7" spans="1:21" ht="15" thickBot="1" x14ac:dyDescent="0.35">
      <c r="A7" s="29" t="str">
        <f>Start!A7</f>
        <v>Eilige</v>
      </c>
      <c r="B7" s="136">
        <f>'KW 29'!S7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0"/>
        <v>0</v>
      </c>
      <c r="R7" s="31">
        <f t="shared" si="0"/>
        <v>0</v>
      </c>
      <c r="S7" s="32">
        <f>B7+Q7-R7</f>
        <v>0</v>
      </c>
      <c r="T7" s="32">
        <f t="shared" si="2"/>
        <v>0</v>
      </c>
      <c r="U7" s="33">
        <f t="shared" si="1"/>
        <v>0</v>
      </c>
    </row>
    <row r="8" spans="1:21" ht="7.35" customHeight="1" thickBot="1" x14ac:dyDescent="0.35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5">
        <f>'KW 29'!S9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3">C9+E9+G9+I9+K9+M9+O9</f>
        <v>0</v>
      </c>
      <c r="R9" s="21">
        <f t="shared" si="3"/>
        <v>0</v>
      </c>
      <c r="S9" s="22">
        <f>B9+Q9-R9</f>
        <v>0</v>
      </c>
      <c r="T9" s="22">
        <f t="shared" ref="T9:T17" si="4">R9/5</f>
        <v>0</v>
      </c>
      <c r="U9" s="23">
        <f t="shared" si="1"/>
        <v>0</v>
      </c>
    </row>
    <row r="10" spans="1:21" x14ac:dyDescent="0.3">
      <c r="A10" s="24" t="str">
        <f>Start!A10</f>
        <v xml:space="preserve">   Buchungen</v>
      </c>
      <c r="B10" s="135">
        <f>'KW 29'!S10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3"/>
        <v>0</v>
      </c>
      <c r="R10" s="26">
        <f t="shared" si="3"/>
        <v>0</v>
      </c>
      <c r="S10" s="27">
        <f>B10+Q10-R10</f>
        <v>0</v>
      </c>
      <c r="T10" s="27">
        <f t="shared" si="4"/>
        <v>0</v>
      </c>
      <c r="U10" s="28">
        <f t="shared" si="1"/>
        <v>0</v>
      </c>
    </row>
    <row r="11" spans="1:21" x14ac:dyDescent="0.3">
      <c r="A11" s="24" t="str">
        <f>Start!A11</f>
        <v>SB (Mietavale/StK)</v>
      </c>
      <c r="B11" s="135">
        <f>'KW 29'!S11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3"/>
        <v>0</v>
      </c>
      <c r="R11" s="26">
        <f t="shared" si="3"/>
        <v>0</v>
      </c>
      <c r="S11" s="27">
        <f>B11+Q11-R11</f>
        <v>2</v>
      </c>
      <c r="T11" s="27">
        <f t="shared" si="4"/>
        <v>0</v>
      </c>
      <c r="U11" s="28">
        <f t="shared" si="1"/>
        <v>0</v>
      </c>
    </row>
    <row r="12" spans="1:21" ht="15" customHeight="1" thickBot="1" x14ac:dyDescent="0.35">
      <c r="A12" s="29" t="str">
        <f>Start!A12</f>
        <v>neue Mietavale</v>
      </c>
      <c r="B12" s="135">
        <f>'KW 29'!S12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3"/>
        <v>0</v>
      </c>
      <c r="R12" s="31">
        <f t="shared" si="3"/>
        <v>0</v>
      </c>
      <c r="S12" s="32">
        <f>B12+Q12-R12</f>
        <v>0</v>
      </c>
      <c r="T12" s="32">
        <f t="shared" si="4"/>
        <v>0</v>
      </c>
      <c r="U12" s="33">
        <f t="shared" si="1"/>
        <v>0</v>
      </c>
    </row>
    <row r="13" spans="1:21" ht="7.35" customHeight="1" thickBot="1" x14ac:dyDescent="0.35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5">
        <f>'KW 29'!S14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5">C14+E14+G14+I14+K14+M14+O14</f>
        <v>0</v>
      </c>
      <c r="R14" s="21">
        <f t="shared" si="5"/>
        <v>0</v>
      </c>
      <c r="S14" s="22">
        <f>B14+Q14-R14</f>
        <v>0</v>
      </c>
      <c r="T14" s="22">
        <f t="shared" si="4"/>
        <v>0</v>
      </c>
      <c r="U14" s="23">
        <f t="shared" si="1"/>
        <v>0</v>
      </c>
    </row>
    <row r="15" spans="1:21" ht="15" thickBot="1" x14ac:dyDescent="0.35">
      <c r="A15" s="29" t="str">
        <f>Start!A15</f>
        <v>Einfachaufträge</v>
      </c>
      <c r="B15" s="135">
        <f>'KW 29'!S15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5"/>
        <v>0</v>
      </c>
      <c r="R15" s="31">
        <f t="shared" si="5"/>
        <v>0</v>
      </c>
      <c r="S15" s="32">
        <f>B15+Q15-R15</f>
        <v>0</v>
      </c>
      <c r="T15" s="32">
        <f t="shared" si="4"/>
        <v>0</v>
      </c>
      <c r="U15" s="33">
        <f t="shared" si="1"/>
        <v>0</v>
      </c>
    </row>
    <row r="16" spans="1:21" ht="7.35" hidden="1" customHeight="1" thickBot="1" x14ac:dyDescent="0.35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5">
        <f>'KW 29'!S17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6">C17+E17+G17+I17+K17+M17+O17</f>
        <v>0</v>
      </c>
      <c r="R17" s="43">
        <f t="shared" si="6"/>
        <v>0</v>
      </c>
      <c r="S17" s="44">
        <f>B17+Q17-R17</f>
        <v>0</v>
      </c>
      <c r="T17" s="44">
        <f t="shared" si="4"/>
        <v>0</v>
      </c>
      <c r="U17" s="46">
        <f t="shared" si="1"/>
        <v>0</v>
      </c>
    </row>
    <row r="18" spans="1:21" ht="15" thickBot="1" x14ac:dyDescent="0.35">
      <c r="A18" s="47" t="s">
        <v>13</v>
      </c>
      <c r="B18" s="48">
        <f t="shared" ref="B18:L18" si="7">SUM(B5:B17)</f>
        <v>2</v>
      </c>
      <c r="C18" s="48">
        <f t="shared" si="7"/>
        <v>0</v>
      </c>
      <c r="D18" s="48">
        <f t="shared" si="7"/>
        <v>0</v>
      </c>
      <c r="E18" s="48">
        <f t="shared" si="7"/>
        <v>0</v>
      </c>
      <c r="F18" s="48">
        <f t="shared" si="7"/>
        <v>0</v>
      </c>
      <c r="G18" s="48">
        <f t="shared" si="7"/>
        <v>0</v>
      </c>
      <c r="H18" s="48">
        <f t="shared" si="7"/>
        <v>0</v>
      </c>
      <c r="I18" s="48">
        <f t="shared" si="7"/>
        <v>0</v>
      </c>
      <c r="J18" s="48">
        <f t="shared" si="7"/>
        <v>0</v>
      </c>
      <c r="K18" s="48">
        <f t="shared" si="7"/>
        <v>0</v>
      </c>
      <c r="L18" s="48">
        <f t="shared" si="7"/>
        <v>0</v>
      </c>
      <c r="M18" s="48">
        <f t="shared" ref="M18:T18" si="8">SUM(M5:M17)</f>
        <v>0</v>
      </c>
      <c r="N18" s="48">
        <f t="shared" si="8"/>
        <v>0</v>
      </c>
      <c r="O18" s="48">
        <f t="shared" si="8"/>
        <v>0</v>
      </c>
      <c r="P18" s="48">
        <f t="shared" si="8"/>
        <v>0</v>
      </c>
      <c r="Q18" s="48">
        <f t="shared" si="8"/>
        <v>0</v>
      </c>
      <c r="R18" s="48">
        <f t="shared" si="8"/>
        <v>0</v>
      </c>
      <c r="S18" s="49">
        <f>SUM(S5:S17)</f>
        <v>2</v>
      </c>
      <c r="T18" s="49">
        <f t="shared" si="8"/>
        <v>0</v>
      </c>
      <c r="U18" s="49"/>
    </row>
    <row r="19" spans="1:21" ht="15" thickBot="1" x14ac:dyDescent="0.35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39">
        <f>'KW 29'!S20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9">C20+E20+G20+I20+K20+M20+O20</f>
        <v>0</v>
      </c>
      <c r="R20" s="43">
        <f t="shared" si="9"/>
        <v>0</v>
      </c>
      <c r="S20" s="44">
        <f>B20+Q20-R20</f>
        <v>0</v>
      </c>
      <c r="T20" s="44">
        <f t="shared" ref="T20:T30" si="10">R20/5</f>
        <v>0</v>
      </c>
      <c r="U20" s="46">
        <f t="shared" si="1"/>
        <v>0</v>
      </c>
    </row>
    <row r="21" spans="1:21" ht="7.35" customHeight="1" thickBot="1" x14ac:dyDescent="0.35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4">
        <f>'KW 29'!S22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1">C22+E22+G22+I22+K22+M22+O22</f>
        <v>0</v>
      </c>
      <c r="R22" s="21">
        <f t="shared" si="11"/>
        <v>0</v>
      </c>
      <c r="S22" s="22">
        <f>B22+Q22-R22</f>
        <v>0</v>
      </c>
      <c r="T22" s="22">
        <f t="shared" si="10"/>
        <v>0</v>
      </c>
      <c r="U22" s="23">
        <f t="shared" si="1"/>
        <v>0</v>
      </c>
    </row>
    <row r="23" spans="1:21" x14ac:dyDescent="0.3">
      <c r="A23" s="24" t="str">
        <f>Start!A23</f>
        <v>KCB Mailbox</v>
      </c>
      <c r="B23" s="135">
        <f>'KW 29'!S23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1"/>
        <v>0</v>
      </c>
      <c r="R23" s="26">
        <f t="shared" si="11"/>
        <v>0</v>
      </c>
      <c r="S23" s="27">
        <f>B23+Q23-R23</f>
        <v>0</v>
      </c>
      <c r="T23" s="27">
        <f t="shared" si="10"/>
        <v>0</v>
      </c>
      <c r="U23" s="28">
        <f t="shared" si="1"/>
        <v>0</v>
      </c>
    </row>
    <row r="24" spans="1:21" ht="15" thickBot="1" x14ac:dyDescent="0.35">
      <c r="A24" s="29" t="str">
        <f>Start!A24</f>
        <v>SNOW</v>
      </c>
      <c r="B24" s="136">
        <f>'KW 29'!S24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1"/>
        <v>0</v>
      </c>
      <c r="R24" s="31">
        <f t="shared" si="11"/>
        <v>0</v>
      </c>
      <c r="S24" s="32">
        <f t="shared" ref="S24:S30" si="12">B24+Q24-R24</f>
        <v>0</v>
      </c>
      <c r="T24" s="32">
        <f t="shared" si="10"/>
        <v>0</v>
      </c>
      <c r="U24" s="33">
        <f t="shared" si="1"/>
        <v>0</v>
      </c>
    </row>
    <row r="25" spans="1:21" ht="7.35" customHeight="1" thickBot="1" x14ac:dyDescent="0.35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4">
        <f>'KW 29'!S26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3">C26+E26+G26+I26+K26+M26+O26</f>
        <v>0</v>
      </c>
      <c r="R26" s="21">
        <f t="shared" si="13"/>
        <v>0</v>
      </c>
      <c r="S26" s="22">
        <f t="shared" si="12"/>
        <v>1</v>
      </c>
      <c r="T26" s="22">
        <f t="shared" si="10"/>
        <v>0</v>
      </c>
      <c r="U26" s="23">
        <f t="shared" si="1"/>
        <v>0</v>
      </c>
    </row>
    <row r="27" spans="1:21" x14ac:dyDescent="0.3">
      <c r="A27" s="24" t="str">
        <f>Start!A27</f>
        <v>LV TAZ</v>
      </c>
      <c r="B27" s="135">
        <f>'KW 29'!S27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3"/>
        <v>0</v>
      </c>
      <c r="R27" s="26">
        <f t="shared" si="13"/>
        <v>0</v>
      </c>
      <c r="S27" s="27">
        <f t="shared" si="12"/>
        <v>48</v>
      </c>
      <c r="T27" s="27">
        <f t="shared" si="10"/>
        <v>0</v>
      </c>
      <c r="U27" s="28">
        <f t="shared" si="1"/>
        <v>0</v>
      </c>
    </row>
    <row r="28" spans="1:21" ht="15" thickBot="1" x14ac:dyDescent="0.35">
      <c r="A28" s="29" t="str">
        <f>Start!A28</f>
        <v>WGV</v>
      </c>
      <c r="B28" s="136">
        <f>'KW 29'!S28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3"/>
        <v>0</v>
      </c>
      <c r="R28" s="31">
        <f t="shared" si="13"/>
        <v>0</v>
      </c>
      <c r="S28" s="32">
        <f t="shared" si="12"/>
        <v>7</v>
      </c>
      <c r="T28" s="32">
        <f t="shared" si="10"/>
        <v>0</v>
      </c>
      <c r="U28" s="33">
        <f t="shared" si="1"/>
        <v>0</v>
      </c>
    </row>
    <row r="29" spans="1:21" ht="7.35" customHeight="1" thickBot="1" x14ac:dyDescent="0.35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39">
        <f>'KW 29'!S30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4">C30+E30+G30+I30+K30+M30+O30</f>
        <v>0</v>
      </c>
      <c r="R30" s="43">
        <f t="shared" si="14"/>
        <v>0</v>
      </c>
      <c r="S30" s="44">
        <f t="shared" si="12"/>
        <v>0</v>
      </c>
      <c r="T30" s="44">
        <f t="shared" si="10"/>
        <v>0</v>
      </c>
      <c r="U30" s="46">
        <f t="shared" si="1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5">SUM(D20:D30)</f>
        <v>0</v>
      </c>
      <c r="E31" s="55">
        <f t="shared" si="15"/>
        <v>0</v>
      </c>
      <c r="F31" s="55">
        <f t="shared" si="15"/>
        <v>0</v>
      </c>
      <c r="G31" s="55">
        <f t="shared" si="15"/>
        <v>0</v>
      </c>
      <c r="H31" s="55">
        <f t="shared" si="15"/>
        <v>0</v>
      </c>
      <c r="I31" s="55">
        <f t="shared" si="15"/>
        <v>0</v>
      </c>
      <c r="J31" s="55">
        <f t="shared" si="15"/>
        <v>0</v>
      </c>
      <c r="K31" s="55">
        <f t="shared" si="15"/>
        <v>0</v>
      </c>
      <c r="L31" s="55">
        <f t="shared" si="15"/>
        <v>0</v>
      </c>
      <c r="M31" s="55">
        <f t="shared" si="15"/>
        <v>0</v>
      </c>
      <c r="N31" s="55">
        <f t="shared" si="15"/>
        <v>0</v>
      </c>
      <c r="O31" s="55">
        <f t="shared" si="15"/>
        <v>0</v>
      </c>
      <c r="P31" s="55">
        <f t="shared" si="15"/>
        <v>0</v>
      </c>
      <c r="Q31" s="55">
        <f t="shared" si="15"/>
        <v>0</v>
      </c>
      <c r="R31" s="55">
        <f t="shared" si="15"/>
        <v>0</v>
      </c>
      <c r="S31" s="55">
        <f t="shared" si="15"/>
        <v>56</v>
      </c>
      <c r="T31" s="55">
        <f t="shared" si="15"/>
        <v>0</v>
      </c>
      <c r="U31" s="55"/>
    </row>
    <row r="32" spans="1:21" ht="15" thickBot="1" x14ac:dyDescent="0.35"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R33" si="16">SUM(D22:D30)+D20+D18</f>
        <v>0</v>
      </c>
      <c r="E33" s="58">
        <f t="shared" si="16"/>
        <v>0</v>
      </c>
      <c r="F33" s="58">
        <f t="shared" si="16"/>
        <v>0</v>
      </c>
      <c r="G33" s="58">
        <f t="shared" si="16"/>
        <v>0</v>
      </c>
      <c r="H33" s="58">
        <f t="shared" si="16"/>
        <v>0</v>
      </c>
      <c r="I33" s="58">
        <f t="shared" si="16"/>
        <v>0</v>
      </c>
      <c r="J33" s="58">
        <f t="shared" si="16"/>
        <v>0</v>
      </c>
      <c r="K33" s="58">
        <f t="shared" si="16"/>
        <v>0</v>
      </c>
      <c r="L33" s="58">
        <f t="shared" si="16"/>
        <v>0</v>
      </c>
      <c r="M33" s="58">
        <f t="shared" si="16"/>
        <v>0</v>
      </c>
      <c r="N33" s="58">
        <f t="shared" si="16"/>
        <v>0</v>
      </c>
      <c r="O33" s="58">
        <f t="shared" si="16"/>
        <v>0</v>
      </c>
      <c r="P33" s="58">
        <f t="shared" si="16"/>
        <v>0</v>
      </c>
      <c r="Q33" s="58">
        <f t="shared" si="16"/>
        <v>0</v>
      </c>
      <c r="R33" s="58">
        <f t="shared" si="16"/>
        <v>0</v>
      </c>
      <c r="S33" s="58">
        <f>SUM(S22:S30)+S20+S18</f>
        <v>58</v>
      </c>
      <c r="T33" s="57">
        <f>SUM(T22:T30)+T22+T18</f>
        <v>0</v>
      </c>
      <c r="U33" s="57"/>
    </row>
    <row r="34" spans="1:21" ht="15" thickBot="1" x14ac:dyDescent="0.35"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4">
        <f>'KW 29'!S35</f>
        <v>1496</v>
      </c>
      <c r="P35" s="1" t="s">
        <v>107</v>
      </c>
      <c r="Q35" s="106"/>
      <c r="R35" s="107"/>
      <c r="S35" s="145">
        <f t="shared" ref="S35" si="17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8">R33+R35</f>
        <v>0</v>
      </c>
      <c r="S36" s="105">
        <f t="shared" si="18"/>
        <v>1554</v>
      </c>
    </row>
    <row r="37" spans="1:21" ht="15" thickTop="1" x14ac:dyDescent="0.3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395" priority="12">
      <formula>Wochetag($C$3:$P$3,2)&gt;5</formula>
    </cfRule>
  </conditionalFormatting>
  <conditionalFormatting sqref="K25:L25 K29:L29">
    <cfRule type="expression" dxfId="394" priority="11">
      <formula>Wochetag($C$3:$P$3,2)&gt;5</formula>
    </cfRule>
  </conditionalFormatting>
  <conditionalFormatting sqref="C25:J25 C29:J29">
    <cfRule type="expression" dxfId="393" priority="10">
      <formula>Wochetag($C$3:$P$3,2)&gt;5</formula>
    </cfRule>
  </conditionalFormatting>
  <conditionalFormatting sqref="M29:P29">
    <cfRule type="expression" dxfId="392" priority="9">
      <formula>Wochetag($C$3:$P$3,2)&gt;5</formula>
    </cfRule>
  </conditionalFormatting>
  <conditionalFormatting sqref="M11:P11">
    <cfRule type="expression" dxfId="391" priority="8">
      <formula>Wochetag($C$3:$P$3,2)&gt;5</formula>
    </cfRule>
  </conditionalFormatting>
  <conditionalFormatting sqref="C9:L12">
    <cfRule type="expression" dxfId="390" priority="7">
      <formula>Wochetag($C$3:$P$3,2)&gt;5</formula>
    </cfRule>
  </conditionalFormatting>
  <conditionalFormatting sqref="C14:L15">
    <cfRule type="expression" dxfId="389" priority="6">
      <formula>Wochetag($C$3:$P$3,2)&gt;5</formula>
    </cfRule>
  </conditionalFormatting>
  <conditionalFormatting sqref="C17:L17">
    <cfRule type="expression" dxfId="388" priority="5">
      <formula>Wochetag($C$3:$P$3,2)&gt;5</formula>
    </cfRule>
  </conditionalFormatting>
  <conditionalFormatting sqref="C20:L20">
    <cfRule type="expression" dxfId="387" priority="4">
      <formula>Wochetag($C$3:$P$3,2)&gt;5</formula>
    </cfRule>
  </conditionalFormatting>
  <conditionalFormatting sqref="C22:L24">
    <cfRule type="expression" dxfId="386" priority="3">
      <formula>Wochetag($C$3:$P$3,2)&gt;5</formula>
    </cfRule>
  </conditionalFormatting>
  <conditionalFormatting sqref="C26:L28">
    <cfRule type="expression" dxfId="385" priority="2">
      <formula>Wochetag($C$3:$P$3,2)&gt;5</formula>
    </cfRule>
  </conditionalFormatting>
  <conditionalFormatting sqref="C30:L30">
    <cfRule type="expression" dxfId="384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/>
  <dimension ref="A1:W37"/>
  <sheetViews>
    <sheetView workbookViewId="0">
      <selection activeCell="C3" sqref="C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3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" thickBot="1" x14ac:dyDescent="0.35">
      <c r="A3" s="177" t="s">
        <v>20</v>
      </c>
      <c r="B3" s="181" t="s">
        <v>21</v>
      </c>
      <c r="C3" s="91">
        <f>'KW 1'!$C$3+210</f>
        <v>44410</v>
      </c>
      <c r="D3" s="92">
        <f>C3</f>
        <v>44410</v>
      </c>
      <c r="E3" s="91">
        <f>C3+1</f>
        <v>44411</v>
      </c>
      <c r="F3" s="92">
        <f>E3</f>
        <v>44411</v>
      </c>
      <c r="G3" s="91">
        <f>E3+1</f>
        <v>44412</v>
      </c>
      <c r="H3" s="92">
        <f>G3</f>
        <v>44412</v>
      </c>
      <c r="I3" s="91">
        <f>G3+1</f>
        <v>44413</v>
      </c>
      <c r="J3" s="92">
        <f>I3</f>
        <v>44413</v>
      </c>
      <c r="K3" s="91">
        <f>I3+1</f>
        <v>44414</v>
      </c>
      <c r="L3" s="92">
        <f>K3</f>
        <v>44414</v>
      </c>
      <c r="M3" s="91">
        <f>K3+1</f>
        <v>44415</v>
      </c>
      <c r="N3" s="92">
        <f>M3</f>
        <v>44415</v>
      </c>
      <c r="O3" s="91">
        <f>M3+1</f>
        <v>44416</v>
      </c>
      <c r="P3" s="92">
        <f>O3</f>
        <v>44416</v>
      </c>
      <c r="Q3" s="14" t="s">
        <v>0</v>
      </c>
      <c r="R3" s="15" t="s">
        <v>0</v>
      </c>
      <c r="S3" s="177" t="s">
        <v>1</v>
      </c>
      <c r="T3" s="177" t="s">
        <v>2</v>
      </c>
      <c r="U3" s="179" t="s">
        <v>3</v>
      </c>
      <c r="V3" s="175"/>
      <c r="W3" s="175" t="s">
        <v>4</v>
      </c>
    </row>
    <row r="4" spans="1:23" ht="15" thickBot="1" x14ac:dyDescent="0.35">
      <c r="A4" s="178"/>
      <c r="B4" s="182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80"/>
      <c r="V4" s="176"/>
      <c r="W4" s="176"/>
    </row>
    <row r="5" spans="1:23" x14ac:dyDescent="0.3">
      <c r="A5" s="19" t="str">
        <f>Start!A5</f>
        <v>Postbearbeitung Bestand</v>
      </c>
      <c r="B5" s="134">
        <f>'KW 30'!S5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3">
      <c r="A6" s="24" t="str">
        <f>Start!A6</f>
        <v>Mailbox</v>
      </c>
      <c r="B6" s="135">
        <f>'KW 30'!S6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" thickBot="1" x14ac:dyDescent="0.35">
      <c r="A7" s="29" t="str">
        <f>Start!A7</f>
        <v>Eilige</v>
      </c>
      <c r="B7" s="136">
        <f>'KW 30'!S7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5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3">
      <c r="A9" s="19" t="str">
        <f>Start!A9</f>
        <v>OVE Abfragen</v>
      </c>
      <c r="B9" s="135">
        <f>'KW 30'!S9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3">
      <c r="A10" s="24" t="str">
        <f>Start!A10</f>
        <v xml:space="preserve">   Buchungen</v>
      </c>
      <c r="B10" s="135">
        <f>'KW 30'!S10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3">
      <c r="A11" s="24" t="str">
        <f>Start!A11</f>
        <v>SB (Mietavale/StK)</v>
      </c>
      <c r="B11" s="135">
        <f>'KW 30'!S11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5">
      <c r="A12" s="29" t="str">
        <f>Start!A12</f>
        <v>neue Mietavale</v>
      </c>
      <c r="B12" s="135">
        <f>'KW 30'!S12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5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3">
      <c r="A14" s="19" t="str">
        <f>Start!A14</f>
        <v>Vorgängerinstitute</v>
      </c>
      <c r="B14" s="135">
        <f>'KW 30'!S14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" thickBot="1" x14ac:dyDescent="0.35">
      <c r="A15" s="29" t="str">
        <f>Start!A15</f>
        <v>Einfachaufträge</v>
      </c>
      <c r="B15" s="135">
        <f>'KW 30'!S15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5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" hidden="1" thickBot="1" x14ac:dyDescent="0.35">
      <c r="A17" s="41">
        <f>Start!A17</f>
        <v>0</v>
      </c>
      <c r="B17" s="135">
        <f>'KW 30'!S17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" thickBot="1" x14ac:dyDescent="0.35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" thickBot="1" x14ac:dyDescent="0.35">
      <c r="A20" s="41" t="str">
        <f>Start!A20</f>
        <v>Postbearbeitung</v>
      </c>
      <c r="B20" s="139">
        <f>'KW 30'!S20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5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3">
      <c r="A22" s="19" t="str">
        <f>Start!A22</f>
        <v>SWP Mailbox</v>
      </c>
      <c r="B22" s="134">
        <f>'KW 30'!S22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3">
      <c r="A23" s="24" t="str">
        <f>Start!A23</f>
        <v>KCB Mailbox</v>
      </c>
      <c r="B23" s="135">
        <f>'KW 30'!S23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" thickBot="1" x14ac:dyDescent="0.35">
      <c r="A24" s="29" t="str">
        <f>Start!A24</f>
        <v>SNOW</v>
      </c>
      <c r="B24" s="136">
        <f>'KW 30'!S24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5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3">
      <c r="A26" s="19" t="str">
        <f>Start!A26</f>
        <v>Antragsvorprüfung</v>
      </c>
      <c r="B26" s="134">
        <f>'KW 30'!S26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3">
      <c r="A27" s="24" t="str">
        <f>Start!A27</f>
        <v>LV TAZ</v>
      </c>
      <c r="B27" s="135">
        <f>'KW 30'!S27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" thickBot="1" x14ac:dyDescent="0.35">
      <c r="A28" s="29" t="str">
        <f>Start!A28</f>
        <v>WGV</v>
      </c>
      <c r="B28" s="136">
        <f>'KW 30'!S28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5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" thickBot="1" x14ac:dyDescent="0.35">
      <c r="A30" s="41" t="str">
        <f>Start!A30</f>
        <v>Postbearbeitung BCB</v>
      </c>
      <c r="B30" s="139">
        <f>'KW 30'!S30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" thickBot="1" x14ac:dyDescent="0.35">
      <c r="W32" s="56"/>
    </row>
    <row r="33" spans="1:23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" thickBot="1" x14ac:dyDescent="0.35">
      <c r="Q34" s="59"/>
      <c r="R34" s="59"/>
    </row>
    <row r="35" spans="1:23" ht="15.6" thickTop="1" thickBot="1" x14ac:dyDescent="0.35">
      <c r="A35" s="109" t="str">
        <f>Start!$A$35</f>
        <v>Übertrag Archiv Vorwoche</v>
      </c>
      <c r="B35" s="144">
        <f>'KW 30'!S35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3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" thickTop="1" x14ac:dyDescent="0.3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C22:L28 C29:P29 M9:P11 C9:L12 C14:L15 C17:L17 C20:L20 C30:L30">
    <cfRule type="expression" dxfId="383" priority="82">
      <formula>Wochetag($E$3:$P$3,2)&gt;5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/>
  <dimension ref="A1:W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3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" thickBot="1" x14ac:dyDescent="0.35">
      <c r="A3" s="177" t="s">
        <v>20</v>
      </c>
      <c r="B3" s="181" t="s">
        <v>21</v>
      </c>
      <c r="C3" s="91">
        <f>'KW 1'!$C$3+217</f>
        <v>44417</v>
      </c>
      <c r="D3" s="92">
        <f>C3</f>
        <v>44417</v>
      </c>
      <c r="E3" s="91">
        <f>C3+1</f>
        <v>44418</v>
      </c>
      <c r="F3" s="92">
        <f>E3</f>
        <v>44418</v>
      </c>
      <c r="G3" s="91">
        <f>E3+1</f>
        <v>44419</v>
      </c>
      <c r="H3" s="92">
        <f>G3</f>
        <v>44419</v>
      </c>
      <c r="I3" s="91">
        <f>G3+1</f>
        <v>44420</v>
      </c>
      <c r="J3" s="92">
        <f>I3</f>
        <v>44420</v>
      </c>
      <c r="K3" s="91">
        <f>I3+1</f>
        <v>44421</v>
      </c>
      <c r="L3" s="92">
        <f>K3</f>
        <v>44421</v>
      </c>
      <c r="M3" s="91">
        <f>K3+1</f>
        <v>44422</v>
      </c>
      <c r="N3" s="92">
        <f>M3</f>
        <v>44422</v>
      </c>
      <c r="O3" s="91">
        <f>M3+1</f>
        <v>44423</v>
      </c>
      <c r="P3" s="92">
        <f>O3</f>
        <v>44423</v>
      </c>
      <c r="Q3" s="14" t="s">
        <v>0</v>
      </c>
      <c r="R3" s="15" t="s">
        <v>0</v>
      </c>
      <c r="S3" s="177" t="s">
        <v>1</v>
      </c>
      <c r="T3" s="177" t="s">
        <v>2</v>
      </c>
      <c r="U3" s="179" t="s">
        <v>3</v>
      </c>
      <c r="V3" s="175"/>
      <c r="W3" s="175" t="s">
        <v>4</v>
      </c>
    </row>
    <row r="4" spans="1:23" ht="15" thickBot="1" x14ac:dyDescent="0.35">
      <c r="A4" s="178"/>
      <c r="B4" s="182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80"/>
      <c r="V4" s="176"/>
      <c r="W4" s="176"/>
    </row>
    <row r="5" spans="1:23" x14ac:dyDescent="0.3">
      <c r="A5" s="19" t="str">
        <f>Start!A5</f>
        <v>Postbearbeitung Bestand</v>
      </c>
      <c r="B5" s="134">
        <f>'KW 31'!S5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3">
      <c r="A6" s="24" t="str">
        <f>Start!A6</f>
        <v>Mailbox</v>
      </c>
      <c r="B6" s="135">
        <f>'KW 31'!S6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" thickBot="1" x14ac:dyDescent="0.35">
      <c r="A7" s="29" t="str">
        <f>Start!A7</f>
        <v>Eilige</v>
      </c>
      <c r="B7" s="136">
        <f>'KW 31'!S7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5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3">
      <c r="A9" s="19" t="str">
        <f>Start!A9</f>
        <v>OVE Abfragen</v>
      </c>
      <c r="B9" s="135">
        <f>'KW 31'!S9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3">
      <c r="A10" s="24" t="str">
        <f>Start!A10</f>
        <v xml:space="preserve">   Buchungen</v>
      </c>
      <c r="B10" s="135">
        <f>'KW 31'!S10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3">
      <c r="A11" s="24" t="str">
        <f>Start!A11</f>
        <v>SB (Mietavale/StK)</v>
      </c>
      <c r="B11" s="135">
        <f>'KW 31'!S11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5">
      <c r="A12" s="29" t="str">
        <f>Start!A12</f>
        <v>neue Mietavale</v>
      </c>
      <c r="B12" s="135">
        <f>'KW 31'!S12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5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3">
      <c r="A14" s="19" t="str">
        <f>Start!A14</f>
        <v>Vorgängerinstitute</v>
      </c>
      <c r="B14" s="135">
        <f>'KW 31'!S14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" thickBot="1" x14ac:dyDescent="0.35">
      <c r="A15" s="29" t="str">
        <f>Start!A15</f>
        <v>Einfachaufträge</v>
      </c>
      <c r="B15" s="135">
        <f>'KW 31'!S15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5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" hidden="1" thickBot="1" x14ac:dyDescent="0.35">
      <c r="A17" s="41">
        <f>Start!A17</f>
        <v>0</v>
      </c>
      <c r="B17" s="135">
        <f>'KW 31'!S17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" thickBot="1" x14ac:dyDescent="0.35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" thickBot="1" x14ac:dyDescent="0.35">
      <c r="A20" s="41" t="str">
        <f>Start!A20</f>
        <v>Postbearbeitung</v>
      </c>
      <c r="B20" s="139">
        <f>'KW 31'!S20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5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3">
      <c r="A22" s="19" t="str">
        <f>Start!A22</f>
        <v>SWP Mailbox</v>
      </c>
      <c r="B22" s="134">
        <f>'KW 31'!S22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3">
      <c r="A23" s="24" t="str">
        <f>Start!A23</f>
        <v>KCB Mailbox</v>
      </c>
      <c r="B23" s="135">
        <f>'KW 31'!S23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" thickBot="1" x14ac:dyDescent="0.35">
      <c r="A24" s="29" t="str">
        <f>Start!A24</f>
        <v>SNOW</v>
      </c>
      <c r="B24" s="136">
        <f>'KW 31'!S24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5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3">
      <c r="A26" s="19" t="str">
        <f>Start!A26</f>
        <v>Antragsvorprüfung</v>
      </c>
      <c r="B26" s="134">
        <f>'KW 31'!S26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3">
      <c r="A27" s="24" t="str">
        <f>Start!A27</f>
        <v>LV TAZ</v>
      </c>
      <c r="B27" s="135">
        <f>'KW 31'!S27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" thickBot="1" x14ac:dyDescent="0.35">
      <c r="A28" s="29" t="str">
        <f>Start!A28</f>
        <v>WGV</v>
      </c>
      <c r="B28" s="136">
        <f>'KW 31'!S28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5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" thickBot="1" x14ac:dyDescent="0.35">
      <c r="A30" s="41" t="str">
        <f>Start!A30</f>
        <v>Postbearbeitung BCB</v>
      </c>
      <c r="B30" s="139">
        <f>'KW 31'!S30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" thickBot="1" x14ac:dyDescent="0.35">
      <c r="W32" s="56"/>
    </row>
    <row r="33" spans="1:23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" thickBot="1" x14ac:dyDescent="0.35">
      <c r="Q34" s="59"/>
      <c r="R34" s="59"/>
    </row>
    <row r="35" spans="1:23" ht="15.6" thickTop="1" thickBot="1" x14ac:dyDescent="0.35">
      <c r="A35" s="109" t="str">
        <f>Start!$A$35</f>
        <v>Übertrag Archiv Vorwoche</v>
      </c>
      <c r="B35" s="144">
        <f>'KW 31'!S35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3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" thickTop="1" x14ac:dyDescent="0.3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382" priority="12">
      <formula>Wochetag($C$3:$P$3,2)&gt;5</formula>
    </cfRule>
  </conditionalFormatting>
  <conditionalFormatting sqref="K25:L25 K29:L29">
    <cfRule type="expression" dxfId="381" priority="11">
      <formula>Wochetag($C$3:$P$3,2)&gt;5</formula>
    </cfRule>
  </conditionalFormatting>
  <conditionalFormatting sqref="C25:J25 C29:J29">
    <cfRule type="expression" dxfId="380" priority="10">
      <formula>Wochetag($C$3:$P$3,2)&gt;5</formula>
    </cfRule>
  </conditionalFormatting>
  <conditionalFormatting sqref="M29:P29">
    <cfRule type="expression" dxfId="379" priority="9">
      <formula>Wochetag($C$3:$P$3,2)&gt;5</formula>
    </cfRule>
  </conditionalFormatting>
  <conditionalFormatting sqref="M11:P11">
    <cfRule type="expression" dxfId="378" priority="8">
      <formula>Wochetag($C$3:$P$3,2)&gt;5</formula>
    </cfRule>
  </conditionalFormatting>
  <conditionalFormatting sqref="C9:L12">
    <cfRule type="expression" dxfId="377" priority="7">
      <formula>Wochetag($C$3:$P$3,2)&gt;5</formula>
    </cfRule>
  </conditionalFormatting>
  <conditionalFormatting sqref="C14:L15">
    <cfRule type="expression" dxfId="376" priority="6">
      <formula>Wochetag($C$3:$P$3,2)&gt;5</formula>
    </cfRule>
  </conditionalFormatting>
  <conditionalFormatting sqref="C17:L17">
    <cfRule type="expression" dxfId="375" priority="5">
      <formula>Wochetag($C$3:$P$3,2)&gt;5</formula>
    </cfRule>
  </conditionalFormatting>
  <conditionalFormatting sqref="C20:L20">
    <cfRule type="expression" dxfId="374" priority="4">
      <formula>Wochetag($C$3:$P$3,2)&gt;5</formula>
    </cfRule>
  </conditionalFormatting>
  <conditionalFormatting sqref="C22:L24">
    <cfRule type="expression" dxfId="373" priority="3">
      <formula>Wochetag($C$3:$P$3,2)&gt;5</formula>
    </cfRule>
  </conditionalFormatting>
  <conditionalFormatting sqref="C26:L28">
    <cfRule type="expression" dxfId="372" priority="2">
      <formula>Wochetag($C$3:$P$3,2)&gt;5</formula>
    </cfRule>
  </conditionalFormatting>
  <conditionalFormatting sqref="C30:L30">
    <cfRule type="expression" dxfId="371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/>
  <dimension ref="A1:W37"/>
  <sheetViews>
    <sheetView workbookViewId="0">
      <selection activeCell="C3" sqref="C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3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" thickBot="1" x14ac:dyDescent="0.35">
      <c r="A3" s="177" t="s">
        <v>20</v>
      </c>
      <c r="B3" s="181" t="s">
        <v>21</v>
      </c>
      <c r="C3" s="91">
        <f>'KW 1'!$C$3+224</f>
        <v>44424</v>
      </c>
      <c r="D3" s="92">
        <f>C3</f>
        <v>44424</v>
      </c>
      <c r="E3" s="91">
        <f>C3+1</f>
        <v>44425</v>
      </c>
      <c r="F3" s="92">
        <f>E3</f>
        <v>44425</v>
      </c>
      <c r="G3" s="91">
        <f>C3+2</f>
        <v>44426</v>
      </c>
      <c r="H3" s="92">
        <f>G3</f>
        <v>44426</v>
      </c>
      <c r="I3" s="91">
        <f>C3+3</f>
        <v>44427</v>
      </c>
      <c r="J3" s="92">
        <f>I3</f>
        <v>44427</v>
      </c>
      <c r="K3" s="91">
        <f>C3+4</f>
        <v>44428</v>
      </c>
      <c r="L3" s="92">
        <f>K3</f>
        <v>44428</v>
      </c>
      <c r="M3" s="91">
        <f>C3+5</f>
        <v>44429</v>
      </c>
      <c r="N3" s="92">
        <f>M3</f>
        <v>44429</v>
      </c>
      <c r="O3" s="91">
        <f>C3+6</f>
        <v>44430</v>
      </c>
      <c r="P3" s="92">
        <f>O3</f>
        <v>44430</v>
      </c>
      <c r="Q3" s="14" t="s">
        <v>0</v>
      </c>
      <c r="R3" s="15" t="s">
        <v>0</v>
      </c>
      <c r="S3" s="177" t="s">
        <v>1</v>
      </c>
      <c r="T3" s="177" t="s">
        <v>2</v>
      </c>
      <c r="U3" s="179" t="s">
        <v>3</v>
      </c>
      <c r="V3" s="175"/>
      <c r="W3" s="175" t="s">
        <v>4</v>
      </c>
    </row>
    <row r="4" spans="1:23" ht="15" thickBot="1" x14ac:dyDescent="0.35">
      <c r="A4" s="178"/>
      <c r="B4" s="182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80"/>
      <c r="V4" s="176"/>
      <c r="W4" s="176"/>
    </row>
    <row r="5" spans="1:23" x14ac:dyDescent="0.3">
      <c r="A5" s="19" t="str">
        <f>Start!A5</f>
        <v>Postbearbeitung Bestand</v>
      </c>
      <c r="B5" s="134">
        <f>'KW 32'!S5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3">
      <c r="A6" s="24" t="str">
        <f>Start!A6</f>
        <v>Mailbox</v>
      </c>
      <c r="B6" s="135">
        <f>'KW 32'!S6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" thickBot="1" x14ac:dyDescent="0.35">
      <c r="A7" s="29" t="str">
        <f>Start!A7</f>
        <v>Eilige</v>
      </c>
      <c r="B7" s="136">
        <f>'KW 32'!S7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5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3">
      <c r="A9" s="19" t="str">
        <f>Start!A9</f>
        <v>OVE Abfragen</v>
      </c>
      <c r="B9" s="135">
        <f>'KW 32'!S9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3">
      <c r="A10" s="24" t="str">
        <f>Start!A10</f>
        <v xml:space="preserve">   Buchungen</v>
      </c>
      <c r="B10" s="135">
        <f>'KW 32'!S10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3">
      <c r="A11" s="24" t="str">
        <f>Start!A11</f>
        <v>SB (Mietavale/StK)</v>
      </c>
      <c r="B11" s="135">
        <f>'KW 32'!S11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5">
      <c r="A12" s="29" t="str">
        <f>Start!A12</f>
        <v>neue Mietavale</v>
      </c>
      <c r="B12" s="135">
        <f>'KW 32'!S12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5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3">
      <c r="A14" s="19" t="str">
        <f>Start!A14</f>
        <v>Vorgängerinstitute</v>
      </c>
      <c r="B14" s="135">
        <f>'KW 32'!S14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" customHeight="1" thickBot="1" x14ac:dyDescent="0.35">
      <c r="A15" s="29" t="str">
        <f>Start!A15</f>
        <v>Einfachaufträge</v>
      </c>
      <c r="B15" s="135">
        <f>'KW 32'!S15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5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" hidden="1" thickBot="1" x14ac:dyDescent="0.35">
      <c r="A17" s="41">
        <f>Start!A17</f>
        <v>0</v>
      </c>
      <c r="B17" s="135">
        <f>'KW 32'!S17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" thickBot="1" x14ac:dyDescent="0.35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" thickBot="1" x14ac:dyDescent="0.35">
      <c r="A20" s="41" t="str">
        <f>Start!A20</f>
        <v>Postbearbeitung</v>
      </c>
      <c r="B20" s="139">
        <f>'KW 32'!S20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5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3">
      <c r="A22" s="19" t="str">
        <f>Start!A22</f>
        <v>SWP Mailbox</v>
      </c>
      <c r="B22" s="134">
        <f>'KW 32'!S22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3">
      <c r="A23" s="24" t="str">
        <f>Start!A23</f>
        <v>KCB Mailbox</v>
      </c>
      <c r="B23" s="135">
        <f>'KW 32'!S23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" thickBot="1" x14ac:dyDescent="0.35">
      <c r="A24" s="29" t="str">
        <f>Start!A24</f>
        <v>SNOW</v>
      </c>
      <c r="B24" s="136">
        <f>'KW 32'!S24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5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3">
      <c r="A26" s="19" t="str">
        <f>Start!A26</f>
        <v>Antragsvorprüfung</v>
      </c>
      <c r="B26" s="134">
        <f>'KW 32'!S26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3">
      <c r="A27" s="24" t="str">
        <f>Start!A27</f>
        <v>LV TAZ</v>
      </c>
      <c r="B27" s="135">
        <f>'KW 32'!S27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" thickBot="1" x14ac:dyDescent="0.35">
      <c r="A28" s="29" t="str">
        <f>Start!A28</f>
        <v>WGV</v>
      </c>
      <c r="B28" s="136">
        <f>'KW 32'!S28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5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" thickBot="1" x14ac:dyDescent="0.35">
      <c r="A30" s="41" t="str">
        <f>Start!A30</f>
        <v>Postbearbeitung BCB</v>
      </c>
      <c r="B30" s="139">
        <f>'KW 32'!S30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" thickBot="1" x14ac:dyDescent="0.35">
      <c r="W32" s="56"/>
    </row>
    <row r="33" spans="1:23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" thickBot="1" x14ac:dyDescent="0.35">
      <c r="Q34" s="59"/>
      <c r="R34" s="59"/>
    </row>
    <row r="35" spans="1:23" ht="15.6" thickTop="1" thickBot="1" x14ac:dyDescent="0.35">
      <c r="A35" s="109" t="str">
        <f>Start!$A$35</f>
        <v>Übertrag Archiv Vorwoche</v>
      </c>
      <c r="B35" s="144">
        <f>'KW 32'!S35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3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" thickTop="1" x14ac:dyDescent="0.3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370" priority="12">
      <formula>Wochetag($C$3:$P$3,2)&gt;5</formula>
    </cfRule>
  </conditionalFormatting>
  <conditionalFormatting sqref="K25:L25 K29:L29">
    <cfRule type="expression" dxfId="369" priority="11">
      <formula>Wochetag($C$3:$P$3,2)&gt;5</formula>
    </cfRule>
  </conditionalFormatting>
  <conditionalFormatting sqref="C25:J25 C29:J29">
    <cfRule type="expression" dxfId="368" priority="10">
      <formula>Wochetag($C$3:$P$3,2)&gt;5</formula>
    </cfRule>
  </conditionalFormatting>
  <conditionalFormatting sqref="M29:P29">
    <cfRule type="expression" dxfId="367" priority="9">
      <formula>Wochetag($C$3:$P$3,2)&gt;5</formula>
    </cfRule>
  </conditionalFormatting>
  <conditionalFormatting sqref="M11:P11">
    <cfRule type="expression" dxfId="366" priority="8">
      <formula>Wochetag($C$3:$P$3,2)&gt;5</formula>
    </cfRule>
  </conditionalFormatting>
  <conditionalFormatting sqref="C9:L12">
    <cfRule type="expression" dxfId="365" priority="7">
      <formula>Wochetag($C$3:$P$3,2)&gt;5</formula>
    </cfRule>
  </conditionalFormatting>
  <conditionalFormatting sqref="C14:L15">
    <cfRule type="expression" dxfId="364" priority="6">
      <formula>Wochetag($C$3:$P$3,2)&gt;5</formula>
    </cfRule>
  </conditionalFormatting>
  <conditionalFormatting sqref="C17:L17">
    <cfRule type="expression" dxfId="363" priority="5">
      <formula>Wochetag($C$3:$P$3,2)&gt;5</formula>
    </cfRule>
  </conditionalFormatting>
  <conditionalFormatting sqref="C20:L20">
    <cfRule type="expression" dxfId="362" priority="4">
      <formula>Wochetag($C$3:$P$3,2)&gt;5</formula>
    </cfRule>
  </conditionalFormatting>
  <conditionalFormatting sqref="C22:L24">
    <cfRule type="expression" dxfId="361" priority="3">
      <formula>Wochetag($C$3:$P$3,2)&gt;5</formula>
    </cfRule>
  </conditionalFormatting>
  <conditionalFormatting sqref="C26:L28">
    <cfRule type="expression" dxfId="360" priority="2">
      <formula>Wochetag($C$3:$P$3,2)&gt;5</formula>
    </cfRule>
  </conditionalFormatting>
  <conditionalFormatting sqref="C30:L30">
    <cfRule type="expression" dxfId="359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/>
  <dimension ref="A1:W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3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" thickBot="1" x14ac:dyDescent="0.35">
      <c r="A3" s="177" t="s">
        <v>20</v>
      </c>
      <c r="B3" s="181" t="s">
        <v>21</v>
      </c>
      <c r="C3" s="91">
        <f>'KW 1'!$C$3+231</f>
        <v>44431</v>
      </c>
      <c r="D3" s="92">
        <f>C3</f>
        <v>44431</v>
      </c>
      <c r="E3" s="91">
        <f>C3+1</f>
        <v>44432</v>
      </c>
      <c r="F3" s="92">
        <f>E3</f>
        <v>44432</v>
      </c>
      <c r="G3" s="91">
        <f>C3+2</f>
        <v>44433</v>
      </c>
      <c r="H3" s="92">
        <f>G3</f>
        <v>44433</v>
      </c>
      <c r="I3" s="91">
        <f>C3+3</f>
        <v>44434</v>
      </c>
      <c r="J3" s="92">
        <f>I3</f>
        <v>44434</v>
      </c>
      <c r="K3" s="91">
        <f>C3+4</f>
        <v>44435</v>
      </c>
      <c r="L3" s="92">
        <f>K3</f>
        <v>44435</v>
      </c>
      <c r="M3" s="91">
        <f>C3+5</f>
        <v>44436</v>
      </c>
      <c r="N3" s="92">
        <f>M3</f>
        <v>44436</v>
      </c>
      <c r="O3" s="91">
        <f>C3+6</f>
        <v>44437</v>
      </c>
      <c r="P3" s="92">
        <f>O3</f>
        <v>44437</v>
      </c>
      <c r="Q3" s="14" t="s">
        <v>0</v>
      </c>
      <c r="R3" s="15" t="s">
        <v>0</v>
      </c>
      <c r="S3" s="177" t="s">
        <v>1</v>
      </c>
      <c r="T3" s="177" t="s">
        <v>2</v>
      </c>
      <c r="U3" s="179" t="s">
        <v>3</v>
      </c>
      <c r="V3" s="175"/>
      <c r="W3" s="175" t="s">
        <v>4</v>
      </c>
    </row>
    <row r="4" spans="1:23" ht="15" thickBot="1" x14ac:dyDescent="0.35">
      <c r="A4" s="178"/>
      <c r="B4" s="182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80"/>
      <c r="V4" s="176"/>
      <c r="W4" s="176"/>
    </row>
    <row r="5" spans="1:23" x14ac:dyDescent="0.3">
      <c r="A5" s="19" t="str">
        <f>Start!A5</f>
        <v>Postbearbeitung Bestand</v>
      </c>
      <c r="B5" s="134">
        <f>'KW 33'!S5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3">
      <c r="A6" s="24" t="str">
        <f>Start!A6</f>
        <v>Mailbox</v>
      </c>
      <c r="B6" s="135">
        <f>'KW 33'!S6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" thickBot="1" x14ac:dyDescent="0.35">
      <c r="A7" s="29" t="str">
        <f>Start!A7</f>
        <v>Eilige</v>
      </c>
      <c r="B7" s="136">
        <f>'KW 33'!S7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5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3">
      <c r="A9" s="19" t="str">
        <f>Start!A9</f>
        <v>OVE Abfragen</v>
      </c>
      <c r="B9" s="135">
        <f>'KW 33'!S9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3">
      <c r="A10" s="24" t="str">
        <f>Start!A10</f>
        <v xml:space="preserve">   Buchungen</v>
      </c>
      <c r="B10" s="135">
        <f>'KW 33'!S10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3">
      <c r="A11" s="24" t="str">
        <f>Start!A11</f>
        <v>SB (Mietavale/StK)</v>
      </c>
      <c r="B11" s="135">
        <f>'KW 33'!S11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5">
      <c r="A12" s="29" t="str">
        <f>Start!A12</f>
        <v>neue Mietavale</v>
      </c>
      <c r="B12" s="135">
        <f>'KW 33'!S12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5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3">
      <c r="A14" s="19" t="str">
        <f>Start!A14</f>
        <v>Vorgängerinstitute</v>
      </c>
      <c r="B14" s="135">
        <f>'KW 33'!S14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" thickBot="1" x14ac:dyDescent="0.35">
      <c r="A15" s="29" t="str">
        <f>Start!A15</f>
        <v>Einfachaufträge</v>
      </c>
      <c r="B15" s="135">
        <f>'KW 33'!S15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5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" hidden="1" thickBot="1" x14ac:dyDescent="0.35">
      <c r="A17" s="41">
        <f>Start!A17</f>
        <v>0</v>
      </c>
      <c r="B17" s="135">
        <f>'KW 33'!S17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" thickBot="1" x14ac:dyDescent="0.35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" thickBot="1" x14ac:dyDescent="0.35">
      <c r="A20" s="41" t="str">
        <f>Start!A20</f>
        <v>Postbearbeitung</v>
      </c>
      <c r="B20" s="139">
        <f>'KW 33'!S20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5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3">
      <c r="A22" s="19" t="str">
        <f>Start!A22</f>
        <v>SWP Mailbox</v>
      </c>
      <c r="B22" s="134">
        <f>'KW 33'!S22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3">
      <c r="A23" s="24" t="str">
        <f>Start!A23</f>
        <v>KCB Mailbox</v>
      </c>
      <c r="B23" s="135">
        <f>'KW 33'!S23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" thickBot="1" x14ac:dyDescent="0.35">
      <c r="A24" s="29" t="str">
        <f>Start!A24</f>
        <v>SNOW</v>
      </c>
      <c r="B24" s="136">
        <f>'KW 33'!S24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5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3">
      <c r="A26" s="19" t="str">
        <f>Start!A26</f>
        <v>Antragsvorprüfung</v>
      </c>
      <c r="B26" s="134">
        <f>'KW 33'!S26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3">
      <c r="A27" s="24" t="str">
        <f>Start!A27</f>
        <v>LV TAZ</v>
      </c>
      <c r="B27" s="135">
        <f>'KW 33'!S27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" thickBot="1" x14ac:dyDescent="0.35">
      <c r="A28" s="29" t="str">
        <f>Start!A28</f>
        <v>WGV</v>
      </c>
      <c r="B28" s="136">
        <f>'KW 33'!S28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5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" thickBot="1" x14ac:dyDescent="0.35">
      <c r="A30" s="41" t="str">
        <f>Start!A30</f>
        <v>Postbearbeitung BCB</v>
      </c>
      <c r="B30" s="139">
        <f>'KW 33'!S30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" thickBot="1" x14ac:dyDescent="0.35">
      <c r="W32" s="56"/>
    </row>
    <row r="33" spans="1:23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" thickBot="1" x14ac:dyDescent="0.35">
      <c r="Q34" s="59"/>
      <c r="R34" s="59"/>
    </row>
    <row r="35" spans="1:23" ht="15.6" thickTop="1" thickBot="1" x14ac:dyDescent="0.35">
      <c r="A35" s="109" t="str">
        <f>Start!$A$35</f>
        <v>Übertrag Archiv Vorwoche</v>
      </c>
      <c r="B35" s="144">
        <f>'KW 33'!S35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3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" thickTop="1" x14ac:dyDescent="0.3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358" priority="12">
      <formula>Wochetag($C$3:$P$3,2)&gt;5</formula>
    </cfRule>
  </conditionalFormatting>
  <conditionalFormatting sqref="K25:L25 K29:L29">
    <cfRule type="expression" dxfId="357" priority="11">
      <formula>Wochetag($C$3:$P$3,2)&gt;5</formula>
    </cfRule>
  </conditionalFormatting>
  <conditionalFormatting sqref="C25:J25 C29:J29">
    <cfRule type="expression" dxfId="356" priority="10">
      <formula>Wochetag($C$3:$P$3,2)&gt;5</formula>
    </cfRule>
  </conditionalFormatting>
  <conditionalFormatting sqref="M29:P29">
    <cfRule type="expression" dxfId="355" priority="9">
      <formula>Wochetag($C$3:$P$3,2)&gt;5</formula>
    </cfRule>
  </conditionalFormatting>
  <conditionalFormatting sqref="M11:P11">
    <cfRule type="expression" dxfId="354" priority="8">
      <formula>Wochetag($C$3:$P$3,2)&gt;5</formula>
    </cfRule>
  </conditionalFormatting>
  <conditionalFormatting sqref="C9:L12">
    <cfRule type="expression" dxfId="353" priority="7">
      <formula>Wochetag($C$3:$P$3,2)&gt;5</formula>
    </cfRule>
  </conditionalFormatting>
  <conditionalFormatting sqref="C14:L15">
    <cfRule type="expression" dxfId="352" priority="6">
      <formula>Wochetag($C$3:$P$3,2)&gt;5</formula>
    </cfRule>
  </conditionalFormatting>
  <conditionalFormatting sqref="C17:L17">
    <cfRule type="expression" dxfId="351" priority="5">
      <formula>Wochetag($C$3:$P$3,2)&gt;5</formula>
    </cfRule>
  </conditionalFormatting>
  <conditionalFormatting sqref="C20:L20">
    <cfRule type="expression" dxfId="350" priority="4">
      <formula>Wochetag($C$3:$P$3,2)&gt;5</formula>
    </cfRule>
  </conditionalFormatting>
  <conditionalFormatting sqref="C22:L24">
    <cfRule type="expression" dxfId="349" priority="3">
      <formula>Wochetag($C$3:$P$3,2)&gt;5</formula>
    </cfRule>
  </conditionalFormatting>
  <conditionalFormatting sqref="C26:L28">
    <cfRule type="expression" dxfId="348" priority="2">
      <formula>Wochetag($C$3:$P$3,2)&gt;5</formula>
    </cfRule>
  </conditionalFormatting>
  <conditionalFormatting sqref="C30:L30">
    <cfRule type="expression" dxfId="347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8"/>
  <dimension ref="A1:W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3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" thickBot="1" x14ac:dyDescent="0.35">
      <c r="A3" s="177" t="s">
        <v>20</v>
      </c>
      <c r="B3" s="181" t="s">
        <v>21</v>
      </c>
      <c r="C3" s="91">
        <f>'KW 1'!$C$3+238</f>
        <v>44438</v>
      </c>
      <c r="D3" s="92">
        <f>C3</f>
        <v>44438</v>
      </c>
      <c r="E3" s="91">
        <f>C3+1</f>
        <v>44439</v>
      </c>
      <c r="F3" s="92">
        <f>E3</f>
        <v>44439</v>
      </c>
      <c r="G3" s="91">
        <f>C3+2</f>
        <v>44440</v>
      </c>
      <c r="H3" s="92">
        <f>G3</f>
        <v>44440</v>
      </c>
      <c r="I3" s="91">
        <f>C3+3</f>
        <v>44441</v>
      </c>
      <c r="J3" s="92">
        <f>I3</f>
        <v>44441</v>
      </c>
      <c r="K3" s="91">
        <f>C3+4</f>
        <v>44442</v>
      </c>
      <c r="L3" s="92">
        <f>K3</f>
        <v>44442</v>
      </c>
      <c r="M3" s="91">
        <f>C3+5</f>
        <v>44443</v>
      </c>
      <c r="N3" s="92">
        <f>M3</f>
        <v>44443</v>
      </c>
      <c r="O3" s="91">
        <f>C3+6</f>
        <v>44444</v>
      </c>
      <c r="P3" s="92">
        <f>O3</f>
        <v>44444</v>
      </c>
      <c r="Q3" s="14" t="s">
        <v>0</v>
      </c>
      <c r="R3" s="15" t="s">
        <v>0</v>
      </c>
      <c r="S3" s="177" t="s">
        <v>1</v>
      </c>
      <c r="T3" s="177" t="s">
        <v>2</v>
      </c>
      <c r="U3" s="179" t="s">
        <v>3</v>
      </c>
      <c r="V3" s="175"/>
      <c r="W3" s="175" t="s">
        <v>4</v>
      </c>
    </row>
    <row r="4" spans="1:23" ht="15" thickBot="1" x14ac:dyDescent="0.35">
      <c r="A4" s="178"/>
      <c r="B4" s="182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80"/>
      <c r="V4" s="176"/>
      <c r="W4" s="176"/>
    </row>
    <row r="5" spans="1:23" x14ac:dyDescent="0.3">
      <c r="A5" s="19" t="str">
        <f>Start!A5</f>
        <v>Postbearbeitung Bestand</v>
      </c>
      <c r="B5" s="134">
        <f>'KW 34'!S5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3">
      <c r="A6" s="24" t="str">
        <f>Start!A6</f>
        <v>Mailbox</v>
      </c>
      <c r="B6" s="135">
        <f>'KW 34'!S6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" thickBot="1" x14ac:dyDescent="0.35">
      <c r="A7" s="29" t="str">
        <f>Start!A7</f>
        <v>Eilige</v>
      </c>
      <c r="B7" s="136">
        <f>'KW 34'!S7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5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3">
      <c r="A9" s="19" t="str">
        <f>Start!A9</f>
        <v>OVE Abfragen</v>
      </c>
      <c r="B9" s="135">
        <f>'KW 34'!S9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3">
      <c r="A10" s="24" t="str">
        <f>Start!A10</f>
        <v xml:space="preserve">   Buchungen</v>
      </c>
      <c r="B10" s="135">
        <f>'KW 34'!S10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3">
      <c r="A11" s="24" t="str">
        <f>Start!A11</f>
        <v>SB (Mietavale/StK)</v>
      </c>
      <c r="B11" s="135">
        <f>'KW 34'!S11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5">
      <c r="A12" s="29" t="str">
        <f>Start!A12</f>
        <v>neue Mietavale</v>
      </c>
      <c r="B12" s="135">
        <f>'KW 34'!S12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5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3">
      <c r="A14" s="19" t="str">
        <f>Start!A14</f>
        <v>Vorgängerinstitute</v>
      </c>
      <c r="B14" s="135">
        <f>'KW 34'!S14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" thickBot="1" x14ac:dyDescent="0.35">
      <c r="A15" s="29" t="str">
        <f>Start!A15</f>
        <v>Einfachaufträge</v>
      </c>
      <c r="B15" s="135">
        <f>'KW 34'!S15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5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" hidden="1" thickBot="1" x14ac:dyDescent="0.35">
      <c r="A17" s="41">
        <f>Start!A17</f>
        <v>0</v>
      </c>
      <c r="B17" s="135">
        <f>'KW 34'!S17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" thickBot="1" x14ac:dyDescent="0.35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" thickBot="1" x14ac:dyDescent="0.35">
      <c r="A20" s="41" t="str">
        <f>Start!A20</f>
        <v>Postbearbeitung</v>
      </c>
      <c r="B20" s="139">
        <f>'KW 34'!S20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5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3">
      <c r="A22" s="19" t="str">
        <f>Start!A22</f>
        <v>SWP Mailbox</v>
      </c>
      <c r="B22" s="134">
        <f>'KW 34'!S22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3">
      <c r="A23" s="24" t="str">
        <f>Start!A23</f>
        <v>KCB Mailbox</v>
      </c>
      <c r="B23" s="135">
        <f>'KW 34'!S23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" thickBot="1" x14ac:dyDescent="0.35">
      <c r="A24" s="29" t="str">
        <f>Start!A24</f>
        <v>SNOW</v>
      </c>
      <c r="B24" s="136">
        <f>'KW 34'!S24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5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3">
      <c r="A26" s="19" t="str">
        <f>Start!A26</f>
        <v>Antragsvorprüfung</v>
      </c>
      <c r="B26" s="134">
        <f>'KW 34'!S26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3">
      <c r="A27" s="24" t="str">
        <f>Start!A27</f>
        <v>LV TAZ</v>
      </c>
      <c r="B27" s="135">
        <f>'KW 34'!S27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" thickBot="1" x14ac:dyDescent="0.35">
      <c r="A28" s="29" t="str">
        <f>Start!A28</f>
        <v>WGV</v>
      </c>
      <c r="B28" s="136">
        <f>'KW 34'!S28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5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" thickBot="1" x14ac:dyDescent="0.35">
      <c r="A30" s="41" t="str">
        <f>Start!A30</f>
        <v>Postbearbeitung BCB</v>
      </c>
      <c r="B30" s="139">
        <f>'KW 34'!S30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" thickBot="1" x14ac:dyDescent="0.35">
      <c r="W32" s="56"/>
    </row>
    <row r="33" spans="1:23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" thickBot="1" x14ac:dyDescent="0.35">
      <c r="Q34" s="59"/>
      <c r="R34" s="59"/>
    </row>
    <row r="35" spans="1:23" ht="15.6" thickTop="1" thickBot="1" x14ac:dyDescent="0.35">
      <c r="A35" s="109" t="str">
        <f>Start!$A$35</f>
        <v>Übertrag Archiv Vorwoche</v>
      </c>
      <c r="B35" s="144">
        <f>'KW 34'!S35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3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" thickTop="1" x14ac:dyDescent="0.3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346" priority="12">
      <formula>Wochetag($C$3:$P$3,2)&gt;5</formula>
    </cfRule>
  </conditionalFormatting>
  <conditionalFormatting sqref="K25:L25 K29:L29">
    <cfRule type="expression" dxfId="345" priority="11">
      <formula>Wochetag($C$3:$P$3,2)&gt;5</formula>
    </cfRule>
  </conditionalFormatting>
  <conditionalFormatting sqref="C25:J25 C29:J29">
    <cfRule type="expression" dxfId="344" priority="10">
      <formula>Wochetag($C$3:$P$3,2)&gt;5</formula>
    </cfRule>
  </conditionalFormatting>
  <conditionalFormatting sqref="M29:P29">
    <cfRule type="expression" dxfId="343" priority="9">
      <formula>Wochetag($C$3:$P$3,2)&gt;5</formula>
    </cfRule>
  </conditionalFormatting>
  <conditionalFormatting sqref="M11:P11">
    <cfRule type="expression" dxfId="342" priority="8">
      <formula>Wochetag($C$3:$P$3,2)&gt;5</formula>
    </cfRule>
  </conditionalFormatting>
  <conditionalFormatting sqref="C9:L12">
    <cfRule type="expression" dxfId="341" priority="7">
      <formula>Wochetag($C$3:$P$3,2)&gt;5</formula>
    </cfRule>
  </conditionalFormatting>
  <conditionalFormatting sqref="C14:L15">
    <cfRule type="expression" dxfId="340" priority="6">
      <formula>Wochetag($C$3:$P$3,2)&gt;5</formula>
    </cfRule>
  </conditionalFormatting>
  <conditionalFormatting sqref="C17:L17">
    <cfRule type="expression" dxfId="339" priority="5">
      <formula>Wochetag($C$3:$P$3,2)&gt;5</formula>
    </cfRule>
  </conditionalFormatting>
  <conditionalFormatting sqref="C20:L20">
    <cfRule type="expression" dxfId="338" priority="4">
      <formula>Wochetag($C$3:$P$3,2)&gt;5</formula>
    </cfRule>
  </conditionalFormatting>
  <conditionalFormatting sqref="C22:L24">
    <cfRule type="expression" dxfId="337" priority="3">
      <formula>Wochetag($C$3:$P$3,2)&gt;5</formula>
    </cfRule>
  </conditionalFormatting>
  <conditionalFormatting sqref="C26:L28">
    <cfRule type="expression" dxfId="336" priority="2">
      <formula>Wochetag($C$3:$P$3,2)&gt;5</formula>
    </cfRule>
  </conditionalFormatting>
  <conditionalFormatting sqref="C30:L30">
    <cfRule type="expression" dxfId="335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9"/>
  <dimension ref="A1:W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3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" thickBot="1" x14ac:dyDescent="0.35">
      <c r="A3" s="177" t="s">
        <v>20</v>
      </c>
      <c r="B3" s="181" t="s">
        <v>21</v>
      </c>
      <c r="C3" s="91">
        <f>'KW 1'!$C$3+245</f>
        <v>44445</v>
      </c>
      <c r="D3" s="92">
        <f>C3</f>
        <v>44445</v>
      </c>
      <c r="E3" s="91">
        <f>C3+1</f>
        <v>44446</v>
      </c>
      <c r="F3" s="92">
        <f>E3</f>
        <v>44446</v>
      </c>
      <c r="G3" s="91">
        <f>C3+2</f>
        <v>44447</v>
      </c>
      <c r="H3" s="92">
        <f>G3</f>
        <v>44447</v>
      </c>
      <c r="I3" s="91">
        <f>C3+3</f>
        <v>44448</v>
      </c>
      <c r="J3" s="92">
        <f>I3</f>
        <v>44448</v>
      </c>
      <c r="K3" s="91">
        <f>C3+4</f>
        <v>44449</v>
      </c>
      <c r="L3" s="92">
        <f>K3</f>
        <v>44449</v>
      </c>
      <c r="M3" s="91">
        <f>C3+5</f>
        <v>44450</v>
      </c>
      <c r="N3" s="92">
        <f>M3</f>
        <v>44450</v>
      </c>
      <c r="O3" s="91">
        <f>C3+6</f>
        <v>44451</v>
      </c>
      <c r="P3" s="92">
        <f>O3</f>
        <v>44451</v>
      </c>
      <c r="Q3" s="14" t="s">
        <v>0</v>
      </c>
      <c r="R3" s="15" t="s">
        <v>0</v>
      </c>
      <c r="S3" s="177" t="s">
        <v>1</v>
      </c>
      <c r="T3" s="177" t="s">
        <v>2</v>
      </c>
      <c r="U3" s="179" t="s">
        <v>3</v>
      </c>
      <c r="V3" s="175"/>
      <c r="W3" s="175" t="s">
        <v>4</v>
      </c>
    </row>
    <row r="4" spans="1:23" ht="15" thickBot="1" x14ac:dyDescent="0.35">
      <c r="A4" s="178"/>
      <c r="B4" s="182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80"/>
      <c r="V4" s="176"/>
      <c r="W4" s="176"/>
    </row>
    <row r="5" spans="1:23" x14ac:dyDescent="0.3">
      <c r="A5" s="19" t="str">
        <f>Start!A5</f>
        <v>Postbearbeitung Bestand</v>
      </c>
      <c r="B5" s="134">
        <f>'KW 35'!S5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3">
      <c r="A6" s="24" t="str">
        <f>Start!A6</f>
        <v>Mailbox</v>
      </c>
      <c r="B6" s="135">
        <f>'KW 35'!S6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" thickBot="1" x14ac:dyDescent="0.35">
      <c r="A7" s="29" t="str">
        <f>Start!A7</f>
        <v>Eilige</v>
      </c>
      <c r="B7" s="136">
        <f>'KW 35'!S7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5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3">
      <c r="A9" s="19" t="str">
        <f>Start!A9</f>
        <v>OVE Abfragen</v>
      </c>
      <c r="B9" s="135">
        <f>'KW 35'!S9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3">
      <c r="A10" s="24" t="str">
        <f>Start!A10</f>
        <v xml:space="preserve">   Buchungen</v>
      </c>
      <c r="B10" s="135">
        <f>'KW 35'!S10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3">
      <c r="A11" s="24" t="str">
        <f>Start!A11</f>
        <v>SB (Mietavale/StK)</v>
      </c>
      <c r="B11" s="135">
        <f>'KW 35'!S11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5">
      <c r="A12" s="29" t="str">
        <f>Start!A12</f>
        <v>neue Mietavale</v>
      </c>
      <c r="B12" s="135">
        <f>'KW 35'!S12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5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3">
      <c r="A14" s="19" t="str">
        <f>Start!A14</f>
        <v>Vorgängerinstitute</v>
      </c>
      <c r="B14" s="135">
        <f>'KW 35'!S14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" thickBot="1" x14ac:dyDescent="0.35">
      <c r="A15" s="29" t="str">
        <f>Start!A15</f>
        <v>Einfachaufträge</v>
      </c>
      <c r="B15" s="135">
        <f>'KW 35'!S15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5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" hidden="1" thickBot="1" x14ac:dyDescent="0.35">
      <c r="A17" s="41">
        <f>Start!A17</f>
        <v>0</v>
      </c>
      <c r="B17" s="135">
        <f>'KW 35'!S17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" thickBot="1" x14ac:dyDescent="0.35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" thickBot="1" x14ac:dyDescent="0.35">
      <c r="A20" s="41" t="str">
        <f>Start!A20</f>
        <v>Postbearbeitung</v>
      </c>
      <c r="B20" s="139">
        <f>'KW 35'!S20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5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3">
      <c r="A22" s="19" t="str">
        <f>Start!A22</f>
        <v>SWP Mailbox</v>
      </c>
      <c r="B22" s="134">
        <f>'KW 35'!S22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3">
      <c r="A23" s="24" t="str">
        <f>Start!A23</f>
        <v>KCB Mailbox</v>
      </c>
      <c r="B23" s="135">
        <f>'KW 35'!S23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" thickBot="1" x14ac:dyDescent="0.35">
      <c r="A24" s="29" t="str">
        <f>Start!A24</f>
        <v>SNOW</v>
      </c>
      <c r="B24" s="136">
        <f>'KW 35'!S24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5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3">
      <c r="A26" s="19" t="str">
        <f>Start!A26</f>
        <v>Antragsvorprüfung</v>
      </c>
      <c r="B26" s="134">
        <f>'KW 35'!S26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3">
      <c r="A27" s="24" t="str">
        <f>Start!A27</f>
        <v>LV TAZ</v>
      </c>
      <c r="B27" s="135">
        <f>'KW 35'!S27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" thickBot="1" x14ac:dyDescent="0.35">
      <c r="A28" s="29" t="str">
        <f>Start!A28</f>
        <v>WGV</v>
      </c>
      <c r="B28" s="136">
        <f>'KW 35'!S28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5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" thickBot="1" x14ac:dyDescent="0.35">
      <c r="A30" s="41" t="str">
        <f>Start!A30</f>
        <v>Postbearbeitung BCB</v>
      </c>
      <c r="B30" s="139">
        <f>'KW 35'!S30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" thickBot="1" x14ac:dyDescent="0.35">
      <c r="W32" s="56"/>
    </row>
    <row r="33" spans="1:23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" thickBot="1" x14ac:dyDescent="0.35">
      <c r="Q34" s="59"/>
      <c r="R34" s="59"/>
    </row>
    <row r="35" spans="1:23" ht="15.6" thickTop="1" thickBot="1" x14ac:dyDescent="0.35">
      <c r="A35" s="109" t="str">
        <f>Start!$A$35</f>
        <v>Übertrag Archiv Vorwoche</v>
      </c>
      <c r="B35" s="144">
        <f>'KW 35'!S35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3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" thickTop="1" x14ac:dyDescent="0.3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334" priority="12">
      <formula>Wochetag($C$3:$P$3,2)&gt;5</formula>
    </cfRule>
  </conditionalFormatting>
  <conditionalFormatting sqref="K25:L25 K29:L29">
    <cfRule type="expression" dxfId="333" priority="11">
      <formula>Wochetag($C$3:$P$3,2)&gt;5</formula>
    </cfRule>
  </conditionalFormatting>
  <conditionalFormatting sqref="C25:J25 C29:J29">
    <cfRule type="expression" dxfId="332" priority="10">
      <formula>Wochetag($C$3:$P$3,2)&gt;5</formula>
    </cfRule>
  </conditionalFormatting>
  <conditionalFormatting sqref="M29:P29">
    <cfRule type="expression" dxfId="331" priority="9">
      <formula>Wochetag($C$3:$P$3,2)&gt;5</formula>
    </cfRule>
  </conditionalFormatting>
  <conditionalFormatting sqref="M11:P11">
    <cfRule type="expression" dxfId="330" priority="8">
      <formula>Wochetag($C$3:$P$3,2)&gt;5</formula>
    </cfRule>
  </conditionalFormatting>
  <conditionalFormatting sqref="C9:L12">
    <cfRule type="expression" dxfId="329" priority="7">
      <formula>Wochetag($C$3:$P$3,2)&gt;5</formula>
    </cfRule>
  </conditionalFormatting>
  <conditionalFormatting sqref="C14:L15">
    <cfRule type="expression" dxfId="328" priority="6">
      <formula>Wochetag($C$3:$P$3,2)&gt;5</formula>
    </cfRule>
  </conditionalFormatting>
  <conditionalFormatting sqref="C17:L17">
    <cfRule type="expression" dxfId="327" priority="5">
      <formula>Wochetag($C$3:$P$3,2)&gt;5</formula>
    </cfRule>
  </conditionalFormatting>
  <conditionalFormatting sqref="C20:L20">
    <cfRule type="expression" dxfId="326" priority="4">
      <formula>Wochetag($C$3:$P$3,2)&gt;5</formula>
    </cfRule>
  </conditionalFormatting>
  <conditionalFormatting sqref="C22:L24">
    <cfRule type="expression" dxfId="325" priority="3">
      <formula>Wochetag($C$3:$P$3,2)&gt;5</formula>
    </cfRule>
  </conditionalFormatting>
  <conditionalFormatting sqref="C26:L28">
    <cfRule type="expression" dxfId="324" priority="2">
      <formula>Wochetag($C$3:$P$3,2)&gt;5</formula>
    </cfRule>
  </conditionalFormatting>
  <conditionalFormatting sqref="C30:L30">
    <cfRule type="expression" dxfId="323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U37"/>
  <sheetViews>
    <sheetView tabSelected="1" zoomScaleNormal="100" workbookViewId="0">
      <selection activeCell="G10" sqref="G10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2" customWidth="1"/>
    <col min="3" max="16" width="10.77734375" style="2" customWidth="1"/>
    <col min="17" max="18" width="9.6640625" style="2" customWidth="1"/>
    <col min="19" max="16384" width="10.5546875" style="2"/>
  </cols>
  <sheetData>
    <row r="1" spans="1:21" x14ac:dyDescent="0.3">
      <c r="A1" s="6"/>
      <c r="B1" s="12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s="122" customFormat="1" ht="16.2" thickBot="1" x14ac:dyDescent="0.35">
      <c r="C2" s="122">
        <f>YEAR(C3)</f>
        <v>2021</v>
      </c>
      <c r="D2" s="166" t="str">
        <f>IFERROR(VLOOKUP(C3,Start!$F$2:$G$22,2,0),"")</f>
        <v/>
      </c>
      <c r="E2" s="122">
        <f>YEAR(E3)</f>
        <v>2021</v>
      </c>
      <c r="F2" s="166" t="str">
        <f>IFERROR(VLOOKUP(E3,Start!$F$2:$G$22,2,0),"")</f>
        <v/>
      </c>
      <c r="G2" s="122">
        <f>YEAR(G3)</f>
        <v>2021</v>
      </c>
      <c r="H2" s="166" t="str">
        <f>IFERROR(VLOOKUP(G3,Start!$F$2:$G$22,2,0),"")</f>
        <v/>
      </c>
      <c r="I2" s="122">
        <f>YEAR(I3)</f>
        <v>2021</v>
      </c>
      <c r="J2" s="166" t="str">
        <f>IFERROR(VLOOKUP(I3,Start!$F$2:$G$22,2,0),"")</f>
        <v/>
      </c>
      <c r="K2" s="122">
        <f>YEAR(K3)</f>
        <v>2021</v>
      </c>
      <c r="L2" s="166" t="str">
        <f>IFERROR(VLOOKUP(K3,Start!$F$2:$G$22,2,0),"")</f>
        <v/>
      </c>
      <c r="M2" s="122">
        <f>YEAR(M3)</f>
        <v>2021</v>
      </c>
      <c r="N2" s="166" t="str">
        <f>IFERROR(VLOOKUP(M3,Start!$F$2:$G$22,2,0),"")</f>
        <v/>
      </c>
      <c r="O2" s="122">
        <f>YEAR(O3)</f>
        <v>2021</v>
      </c>
      <c r="P2" s="166" t="str">
        <f>IFERROR(VLOOKUP(O3,Start!$F$2:$G$22,2,0),"")</f>
        <v/>
      </c>
    </row>
    <row r="3" spans="1:21" ht="15" thickBot="1" x14ac:dyDescent="0.35">
      <c r="A3" s="177" t="s">
        <v>20</v>
      </c>
      <c r="B3" s="177" t="s">
        <v>21</v>
      </c>
      <c r="C3" s="91">
        <f>Start!I2</f>
        <v>44200</v>
      </c>
      <c r="D3" s="92">
        <f>C3</f>
        <v>44200</v>
      </c>
      <c r="E3" s="91">
        <f>C3+1</f>
        <v>44201</v>
      </c>
      <c r="F3" s="92">
        <f>E3</f>
        <v>44201</v>
      </c>
      <c r="G3" s="91">
        <f>C3+2</f>
        <v>44202</v>
      </c>
      <c r="H3" s="92">
        <f>G3</f>
        <v>44202</v>
      </c>
      <c r="I3" s="91">
        <f>C3+3</f>
        <v>44203</v>
      </c>
      <c r="J3" s="92">
        <f>I3</f>
        <v>44203</v>
      </c>
      <c r="K3" s="91">
        <f>C3+4</f>
        <v>44204</v>
      </c>
      <c r="L3" s="92">
        <f>K3</f>
        <v>44204</v>
      </c>
      <c r="M3" s="91">
        <f>C3+5</f>
        <v>44205</v>
      </c>
      <c r="N3" s="92">
        <f>M3</f>
        <v>44205</v>
      </c>
      <c r="O3" s="91">
        <f>C3+6</f>
        <v>44206</v>
      </c>
      <c r="P3" s="92">
        <f>O3</f>
        <v>44206</v>
      </c>
      <c r="Q3" s="14" t="s">
        <v>0</v>
      </c>
      <c r="R3" s="15" t="s">
        <v>0</v>
      </c>
      <c r="S3" s="177" t="s">
        <v>1</v>
      </c>
      <c r="T3" s="177" t="s">
        <v>2</v>
      </c>
      <c r="U3" s="175" t="s">
        <v>4</v>
      </c>
    </row>
    <row r="4" spans="1:21" ht="15" thickBot="1" x14ac:dyDescent="0.35">
      <c r="A4" s="178"/>
      <c r="B4" s="178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76"/>
    </row>
    <row r="5" spans="1:21" x14ac:dyDescent="0.3">
      <c r="A5" s="19" t="str">
        <f>Start!A5</f>
        <v>Postbearbeitung Bestand</v>
      </c>
      <c r="B5" s="167">
        <f>'alt KW 53'!S5</f>
        <v>0</v>
      </c>
      <c r="C5" s="162"/>
      <c r="D5" s="163"/>
      <c r="E5" s="15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 t="shared" ref="Q5:R7" si="0">C5+E5+G5+I5+K5+M5+O5</f>
        <v>0</v>
      </c>
      <c r="R5" s="21">
        <f t="shared" si="0"/>
        <v>0</v>
      </c>
      <c r="S5" s="22">
        <f>B5+Q5-R5</f>
        <v>0</v>
      </c>
      <c r="T5" s="22">
        <f>R5/5</f>
        <v>0</v>
      </c>
      <c r="U5" s="23">
        <f t="shared" ref="U5:U30" si="1">Q5/5</f>
        <v>0</v>
      </c>
    </row>
    <row r="6" spans="1:21" x14ac:dyDescent="0.3">
      <c r="A6" s="24" t="str">
        <f>Start!A6</f>
        <v>Mailbox</v>
      </c>
      <c r="B6" s="168">
        <f>'alt KW 53'!S6</f>
        <v>0</v>
      </c>
      <c r="C6" s="173"/>
      <c r="D6" s="174"/>
      <c r="E6" s="171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si="0"/>
        <v>0</v>
      </c>
      <c r="R6" s="26">
        <f t="shared" si="0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1"/>
        <v>0</v>
      </c>
    </row>
    <row r="7" spans="1:21" ht="15" thickBot="1" x14ac:dyDescent="0.35">
      <c r="A7" s="29" t="str">
        <f>Start!A7</f>
        <v>Eilige</v>
      </c>
      <c r="B7" s="169">
        <f>'alt KW 53'!S7</f>
        <v>0</v>
      </c>
      <c r="C7" s="164"/>
      <c r="D7" s="165"/>
      <c r="E7" s="160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0"/>
        <v>0</v>
      </c>
      <c r="R7" s="31">
        <f t="shared" si="0"/>
        <v>0</v>
      </c>
      <c r="S7" s="32">
        <f t="shared" si="2"/>
        <v>0</v>
      </c>
      <c r="T7" s="32">
        <f t="shared" si="3"/>
        <v>0</v>
      </c>
      <c r="U7" s="33">
        <f t="shared" si="1"/>
        <v>0</v>
      </c>
    </row>
    <row r="8" spans="1:21" ht="7.35" customHeight="1" thickBot="1" x14ac:dyDescent="0.35">
      <c r="A8" s="34"/>
      <c r="B8" s="137"/>
      <c r="C8" s="54"/>
      <c r="D8" s="54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68">
        <f>'alt KW 53'!S9</f>
        <v>0</v>
      </c>
      <c r="C9" s="162"/>
      <c r="D9" s="163"/>
      <c r="E9" s="171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1"/>
        <v>0</v>
      </c>
    </row>
    <row r="10" spans="1:21" x14ac:dyDescent="0.3">
      <c r="A10" s="24" t="str">
        <f>Start!A10</f>
        <v xml:space="preserve">   Buchungen</v>
      </c>
      <c r="B10" s="168">
        <f>'alt KW 53'!S10</f>
        <v>0</v>
      </c>
      <c r="C10" s="173"/>
      <c r="D10" s="174"/>
      <c r="E10" s="171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1"/>
        <v>0</v>
      </c>
    </row>
    <row r="11" spans="1:21" ht="15" thickBot="1" x14ac:dyDescent="0.35">
      <c r="A11" s="24" t="str">
        <f>Start!A11</f>
        <v>SB (Mietavale/StK)</v>
      </c>
      <c r="B11" s="168">
        <f>'alt KW 53'!S11</f>
        <v>2</v>
      </c>
      <c r="C11" s="164"/>
      <c r="D11" s="165"/>
      <c r="E11" s="171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1"/>
        <v>0</v>
      </c>
    </row>
    <row r="12" spans="1:21" ht="15" customHeight="1" thickBot="1" x14ac:dyDescent="0.35">
      <c r="A12" s="29" t="str">
        <f>Start!A12</f>
        <v>neue Mietavale</v>
      </c>
      <c r="B12" s="168">
        <f>'alt KW 53'!S12</f>
        <v>0</v>
      </c>
      <c r="C12" s="162"/>
      <c r="D12" s="163"/>
      <c r="E12" s="171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1"/>
        <v>0</v>
      </c>
    </row>
    <row r="13" spans="1:21" ht="7.35" customHeight="1" thickBot="1" x14ac:dyDescent="0.35">
      <c r="A13" s="34"/>
      <c r="B13" s="138"/>
      <c r="C13" s="54"/>
      <c r="D13" s="54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68">
        <f>'alt KW 53'!S14</f>
        <v>0</v>
      </c>
      <c r="C14" s="162"/>
      <c r="D14" s="163"/>
      <c r="E14" s="171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1"/>
        <v>0</v>
      </c>
    </row>
    <row r="15" spans="1:21" ht="15" thickBot="1" x14ac:dyDescent="0.35">
      <c r="A15" s="29" t="str">
        <f>Start!A15</f>
        <v>Einfachaufträge</v>
      </c>
      <c r="B15" s="168">
        <f>'alt KW 53'!S15</f>
        <v>0</v>
      </c>
      <c r="C15" s="173"/>
      <c r="D15" s="174"/>
      <c r="E15" s="171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1"/>
        <v>0</v>
      </c>
    </row>
    <row r="16" spans="1:21" ht="6.75" hidden="1" customHeight="1" thickBot="1" x14ac:dyDescent="0.35">
      <c r="A16" s="34"/>
      <c r="B16" s="138"/>
      <c r="C16" s="54"/>
      <c r="D16" s="54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5">
        <f>'alt KW 53'!S17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1"/>
        <v>0</v>
      </c>
    </row>
    <row r="18" spans="1:21" ht="15" thickBot="1" x14ac:dyDescent="0.35">
      <c r="A18" s="47" t="s">
        <v>13</v>
      </c>
      <c r="B18" s="48">
        <f t="shared" ref="B18:H18" si="8">SUM(B5:B17)</f>
        <v>2</v>
      </c>
      <c r="C18" s="48">
        <f t="shared" si="8"/>
        <v>0</v>
      </c>
      <c r="D18" s="48">
        <f t="shared" si="8"/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ref="I18:T18" si="9">SUM(I5:I17)</f>
        <v>0</v>
      </c>
      <c r="J18" s="48">
        <f t="shared" si="9"/>
        <v>0</v>
      </c>
      <c r="K18" s="48">
        <f t="shared" si="9"/>
        <v>0</v>
      </c>
      <c r="L18" s="48">
        <f t="shared" si="9"/>
        <v>0</v>
      </c>
      <c r="M18" s="48">
        <f t="shared" si="9"/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70">
        <f>'alt KW 53'!S20</f>
        <v>0</v>
      </c>
      <c r="C20" s="162"/>
      <c r="D20" s="163"/>
      <c r="E20" s="1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1"/>
        <v>0</v>
      </c>
    </row>
    <row r="21" spans="1:21" ht="7.35" customHeight="1" thickBot="1" x14ac:dyDescent="0.35">
      <c r="A21" s="34"/>
      <c r="B21" s="137"/>
      <c r="C21" s="54"/>
      <c r="D21" s="54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ht="15" thickBot="1" x14ac:dyDescent="0.35">
      <c r="A22" s="19" t="str">
        <f>Start!A22</f>
        <v>SWP Mailbox</v>
      </c>
      <c r="B22" s="168">
        <f>'alt KW 53'!S22</f>
        <v>0</v>
      </c>
      <c r="C22" s="162"/>
      <c r="D22" s="163"/>
      <c r="E22" s="171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1"/>
        <v>0</v>
      </c>
    </row>
    <row r="23" spans="1:21" ht="15" thickBot="1" x14ac:dyDescent="0.35">
      <c r="A23" s="24" t="str">
        <f>Start!A23</f>
        <v>KCB Mailbox</v>
      </c>
      <c r="B23" s="168">
        <f>'alt KW 53'!S23</f>
        <v>0</v>
      </c>
      <c r="C23" s="162"/>
      <c r="D23" s="163"/>
      <c r="E23" s="171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1"/>
        <v>0</v>
      </c>
    </row>
    <row r="24" spans="1:21" ht="15" thickBot="1" x14ac:dyDescent="0.35">
      <c r="A24" s="29" t="str">
        <f>Start!A24</f>
        <v>SNOW</v>
      </c>
      <c r="B24" s="168">
        <f>'alt KW 53'!S24</f>
        <v>0</v>
      </c>
      <c r="C24" s="162"/>
      <c r="D24" s="163"/>
      <c r="E24" s="171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1"/>
        <v>0</v>
      </c>
    </row>
    <row r="25" spans="1:21" ht="7.35" customHeight="1" thickBot="1" x14ac:dyDescent="0.35">
      <c r="A25" s="34"/>
      <c r="B25" s="137"/>
      <c r="C25" s="54"/>
      <c r="D25" s="54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ht="15" thickBot="1" x14ac:dyDescent="0.35">
      <c r="A26" s="19" t="str">
        <f>Start!A26</f>
        <v>Antragsvorprüfung</v>
      </c>
      <c r="B26" s="167">
        <f>'alt KW 53'!S26</f>
        <v>1</v>
      </c>
      <c r="C26" s="162"/>
      <c r="D26" s="163"/>
      <c r="E26" s="171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1"/>
        <v>0</v>
      </c>
    </row>
    <row r="27" spans="1:21" ht="15" thickBot="1" x14ac:dyDescent="0.35">
      <c r="A27" s="24" t="str">
        <f>Start!A27</f>
        <v>LV TAZ</v>
      </c>
      <c r="B27" s="168">
        <f>'alt KW 53'!S27</f>
        <v>48</v>
      </c>
      <c r="C27" s="162"/>
      <c r="D27" s="163"/>
      <c r="E27" s="171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1"/>
        <v>0</v>
      </c>
    </row>
    <row r="28" spans="1:21" ht="15" thickBot="1" x14ac:dyDescent="0.35">
      <c r="A28" s="29" t="str">
        <f>Start!A28</f>
        <v>WGV</v>
      </c>
      <c r="B28" s="169">
        <f>'alt KW 53'!S28</f>
        <v>7</v>
      </c>
      <c r="C28" s="162"/>
      <c r="D28" s="163"/>
      <c r="E28" s="160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1"/>
        <v>0</v>
      </c>
    </row>
    <row r="29" spans="1:21" ht="7.35" customHeight="1" thickBot="1" x14ac:dyDescent="0.35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70">
        <f>'alt KW 53'!S30</f>
        <v>0</v>
      </c>
      <c r="C30" s="162"/>
      <c r="D30" s="163"/>
      <c r="E30" s="1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1"/>
        <v>0</v>
      </c>
    </row>
    <row r="31" spans="1:21" ht="15" thickBot="1" x14ac:dyDescent="0.35">
      <c r="A31" s="47" t="s">
        <v>13</v>
      </c>
      <c r="B31" s="55">
        <f>SUM(B20:B30)</f>
        <v>56</v>
      </c>
      <c r="C31" s="74">
        <f>SUM(C20:C30)</f>
        <v>0</v>
      </c>
      <c r="D31" s="74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B32" s="59"/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B34" s="59"/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4">
        <f>'alt KW 53'!S35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sheetProtection selectLockedCells="1"/>
  <mergeCells count="5">
    <mergeCell ref="U3:U4"/>
    <mergeCell ref="A3:A4"/>
    <mergeCell ref="S3:S4"/>
    <mergeCell ref="T3:T4"/>
    <mergeCell ref="B3:B4"/>
  </mergeCells>
  <conditionalFormatting sqref="G5:H33">
    <cfRule type="expression" dxfId="70" priority="82">
      <formula>IF($G$1="altes Jahr",TRUE,FALSE)</formula>
    </cfRule>
  </conditionalFormatting>
  <conditionalFormatting sqref="I5:J33">
    <cfRule type="expression" dxfId="69" priority="81">
      <formula>IF($I$1="altes Jahr",TRUE,FALSE)</formula>
    </cfRule>
  </conditionalFormatting>
  <conditionalFormatting sqref="K5:L33">
    <cfRule type="expression" dxfId="68" priority="80">
      <formula>IF($K$1="altes Jahr",TRUE,FALSE)</formula>
    </cfRule>
  </conditionalFormatting>
  <conditionalFormatting sqref="M5:N33">
    <cfRule type="expression" dxfId="67" priority="79">
      <formula>IF($M$1="altes Jahr",TRUE,FALSE)</formula>
    </cfRule>
  </conditionalFormatting>
  <conditionalFormatting sqref="O5:P33">
    <cfRule type="expression" dxfId="66" priority="78">
      <formula>IF($O$1="altes Jahr",TRUE,FALSE)</formula>
    </cfRule>
  </conditionalFormatting>
  <conditionalFormatting sqref="C5:D7">
    <cfRule type="expression" dxfId="65" priority="55">
      <formula>IF($C$1="altes Jahr",TRUE,FALSE)</formula>
    </cfRule>
  </conditionalFormatting>
  <conditionalFormatting sqref="C5:D7">
    <cfRule type="expression" dxfId="64" priority="57">
      <formula>WEEKDAY($C3,2)&gt;5</formula>
    </cfRule>
  </conditionalFormatting>
  <conditionalFormatting sqref="C9:D12">
    <cfRule type="expression" dxfId="62" priority="16">
      <formula>IF($C$1="altes Jahr",TRUE,FALSE)</formula>
    </cfRule>
  </conditionalFormatting>
  <conditionalFormatting sqref="C9:D12">
    <cfRule type="expression" dxfId="61" priority="18">
      <formula>WEEKDAY($C7,2)&gt;5</formula>
    </cfRule>
  </conditionalFormatting>
  <conditionalFormatting sqref="C14:D15">
    <cfRule type="expression" dxfId="59" priority="13">
      <formula>IF($C$1="altes Jahr",TRUE,FALSE)</formula>
    </cfRule>
  </conditionalFormatting>
  <conditionalFormatting sqref="C14:D15">
    <cfRule type="expression" dxfId="58" priority="15">
      <formula>WEEKDAY($C12,2)&gt;5</formula>
    </cfRule>
  </conditionalFormatting>
  <conditionalFormatting sqref="C20:D20">
    <cfRule type="expression" dxfId="56" priority="10">
      <formula>IF($C$1="altes Jahr",TRUE,FALSE)</formula>
    </cfRule>
  </conditionalFormatting>
  <conditionalFormatting sqref="C20:D20">
    <cfRule type="expression" dxfId="55" priority="12">
      <formula>WEEKDAY($C18,2)&gt;5</formula>
    </cfRule>
  </conditionalFormatting>
  <conditionalFormatting sqref="C22:D24">
    <cfRule type="expression" dxfId="53" priority="7">
      <formula>IF($C$1="altes Jahr",TRUE,FALSE)</formula>
    </cfRule>
  </conditionalFormatting>
  <conditionalFormatting sqref="C22:D24">
    <cfRule type="expression" dxfId="52" priority="9">
      <formula>WEEKDAY($C20,2)&gt;5</formula>
    </cfRule>
  </conditionalFormatting>
  <conditionalFormatting sqref="C26:D28">
    <cfRule type="expression" dxfId="50" priority="4">
      <formula>IF($C$1="altes Jahr",TRUE,FALSE)</formula>
    </cfRule>
  </conditionalFormatting>
  <conditionalFormatting sqref="C26:D28">
    <cfRule type="expression" dxfId="49" priority="6">
      <formula>WEEKDAY($C24,2)&gt;5</formula>
    </cfRule>
  </conditionalFormatting>
  <conditionalFormatting sqref="C30:D30">
    <cfRule type="expression" dxfId="47" priority="1">
      <formula>IF($C$1="altes Jahr",TRUE,FALSE)</formula>
    </cfRule>
  </conditionalFormatting>
  <conditionalFormatting sqref="C30:D30">
    <cfRule type="expression" dxfId="46" priority="3">
      <formula>WEEKDAY($C28,2)&gt;5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6" id="{8E9A5F7C-B6EF-4A26-987D-B3DA379D4B0E}">
            <xm:f>AND(NOT(OR(ISBLANK($A5),$A5="Summe ")),ISNUMBER(VLOOKUP(C$3,Start!$F$2:$F$22,1,0)))</xm:f>
            <x14:dxf>
              <fill>
                <patternFill>
                  <bgColor theme="5"/>
                </patternFill>
              </fill>
            </x14:dxf>
          </x14:cfRule>
          <xm:sqref>C5:D7</xm:sqref>
        </x14:conditionalFormatting>
        <x14:conditionalFormatting xmlns:xm="http://schemas.microsoft.com/office/excel/2006/main">
          <x14:cfRule type="expression" priority="17" id="{97306FBF-685B-4DB6-9754-EA2B5A4ABD44}">
            <xm:f>AND(NOT(OR(ISBLANK($A9),$A9="Summe ")),ISNUMBER(VLOOKUP(C$3,Start!$F$2:$F$22,1,0)))</xm:f>
            <x14:dxf>
              <fill>
                <patternFill>
                  <bgColor theme="5"/>
                </patternFill>
              </fill>
            </x14:dxf>
          </x14:cfRule>
          <xm:sqref>C9:D12</xm:sqref>
        </x14:conditionalFormatting>
        <x14:conditionalFormatting xmlns:xm="http://schemas.microsoft.com/office/excel/2006/main">
          <x14:cfRule type="expression" priority="14" id="{23614729-04AD-49E1-96FC-E79062DC984B}">
            <xm:f>AND(NOT(OR(ISBLANK($A14),$A14="Summe ")),ISNUMBER(VLOOKUP(C$3,Start!$F$2:$F$22,1,0)))</xm:f>
            <x14:dxf>
              <fill>
                <patternFill>
                  <bgColor theme="5"/>
                </patternFill>
              </fill>
            </x14:dxf>
          </x14:cfRule>
          <xm:sqref>C14:D15</xm:sqref>
        </x14:conditionalFormatting>
        <x14:conditionalFormatting xmlns:xm="http://schemas.microsoft.com/office/excel/2006/main">
          <x14:cfRule type="expression" priority="11" id="{77466494-CFC6-4700-BAAC-DB1123D90236}">
            <xm:f>AND(NOT(OR(ISBLANK($A20),$A20="Summe ")),ISNUMBER(VLOOKUP(C$3,Start!$F$2:$F$22,1,0)))</xm:f>
            <x14:dxf>
              <fill>
                <patternFill>
                  <bgColor theme="5"/>
                </patternFill>
              </fill>
            </x14:dxf>
          </x14:cfRule>
          <xm:sqref>C20:D20</xm:sqref>
        </x14:conditionalFormatting>
        <x14:conditionalFormatting xmlns:xm="http://schemas.microsoft.com/office/excel/2006/main">
          <x14:cfRule type="expression" priority="8" id="{A4B19120-A28B-496B-854D-8E07A6B3C3B0}">
            <xm:f>AND(NOT(OR(ISBLANK($A22),$A22="Summe ")),ISNUMBER(VLOOKUP(C$3,Start!$F$2:$F$22,1,0)))</xm:f>
            <x14:dxf>
              <fill>
                <patternFill>
                  <bgColor theme="5"/>
                </patternFill>
              </fill>
            </x14:dxf>
          </x14:cfRule>
          <xm:sqref>C22:D24</xm:sqref>
        </x14:conditionalFormatting>
        <x14:conditionalFormatting xmlns:xm="http://schemas.microsoft.com/office/excel/2006/main">
          <x14:cfRule type="expression" priority="5" id="{54EDF746-0634-48C4-9CD6-55FBB08872A9}">
            <xm:f>AND(NOT(OR(ISBLANK($A26),$A26="Summe ")),ISNUMBER(VLOOKUP(C$3,Start!$F$2:$F$22,1,0)))</xm:f>
            <x14:dxf>
              <fill>
                <patternFill>
                  <bgColor theme="5"/>
                </patternFill>
              </fill>
            </x14:dxf>
          </x14:cfRule>
          <xm:sqref>C26:D28</xm:sqref>
        </x14:conditionalFormatting>
        <x14:conditionalFormatting xmlns:xm="http://schemas.microsoft.com/office/excel/2006/main">
          <x14:cfRule type="expression" priority="2" id="{95C4904B-A8C7-4352-BD76-12A3F6989507}">
            <xm:f>AND(NOT(OR(ISBLANK($A30),$A30="Summe ")),ISNUMBER(VLOOKUP(C$3,Start!$F$2:$F$22,1,0)))</xm:f>
            <x14:dxf>
              <fill>
                <patternFill>
                  <bgColor theme="5"/>
                </patternFill>
              </fill>
            </x14:dxf>
          </x14:cfRule>
          <xm:sqref>C30:D30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0"/>
  <dimension ref="A1:W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3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" thickBot="1" x14ac:dyDescent="0.35">
      <c r="A3" s="177" t="s">
        <v>20</v>
      </c>
      <c r="B3" s="181" t="s">
        <v>21</v>
      </c>
      <c r="C3" s="91">
        <f>'KW 1'!$C$3+252</f>
        <v>44452</v>
      </c>
      <c r="D3" s="92">
        <f>C3</f>
        <v>44452</v>
      </c>
      <c r="E3" s="91">
        <f>C3+1</f>
        <v>44453</v>
      </c>
      <c r="F3" s="92">
        <f>E3</f>
        <v>44453</v>
      </c>
      <c r="G3" s="91">
        <f>C3+2</f>
        <v>44454</v>
      </c>
      <c r="H3" s="92">
        <f>G3</f>
        <v>44454</v>
      </c>
      <c r="I3" s="91">
        <f>C3+3</f>
        <v>44455</v>
      </c>
      <c r="J3" s="92">
        <f>I3</f>
        <v>44455</v>
      </c>
      <c r="K3" s="91">
        <f>C3+4</f>
        <v>44456</v>
      </c>
      <c r="L3" s="92">
        <f>K3</f>
        <v>44456</v>
      </c>
      <c r="M3" s="91">
        <f>C3+5</f>
        <v>44457</v>
      </c>
      <c r="N3" s="92">
        <f>M3</f>
        <v>44457</v>
      </c>
      <c r="O3" s="91">
        <f>C3+6</f>
        <v>44458</v>
      </c>
      <c r="P3" s="92">
        <f>O3</f>
        <v>44458</v>
      </c>
      <c r="Q3" s="14" t="s">
        <v>0</v>
      </c>
      <c r="R3" s="15" t="s">
        <v>0</v>
      </c>
      <c r="S3" s="177" t="s">
        <v>1</v>
      </c>
      <c r="T3" s="177" t="s">
        <v>2</v>
      </c>
      <c r="U3" s="179" t="s">
        <v>3</v>
      </c>
      <c r="V3" s="175"/>
      <c r="W3" s="175" t="s">
        <v>4</v>
      </c>
    </row>
    <row r="4" spans="1:23" ht="15" thickBot="1" x14ac:dyDescent="0.35">
      <c r="A4" s="178"/>
      <c r="B4" s="182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80"/>
      <c r="V4" s="176"/>
      <c r="W4" s="176"/>
    </row>
    <row r="5" spans="1:23" x14ac:dyDescent="0.3">
      <c r="A5" s="19" t="str">
        <f>Start!A5</f>
        <v>Postbearbeitung Bestand</v>
      </c>
      <c r="B5" s="134">
        <f>'KW 36'!S5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3">
      <c r="A6" s="24" t="str">
        <f>Start!A6</f>
        <v>Mailbox</v>
      </c>
      <c r="B6" s="135">
        <f>'KW 36'!S6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" thickBot="1" x14ac:dyDescent="0.35">
      <c r="A7" s="29" t="str">
        <f>Start!A7</f>
        <v>Eilige</v>
      </c>
      <c r="B7" s="136">
        <f>'KW 36'!S7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5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3">
      <c r="A9" s="19" t="str">
        <f>Start!A9</f>
        <v>OVE Abfragen</v>
      </c>
      <c r="B9" s="135">
        <f>'KW 36'!S9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3">
      <c r="A10" s="24" t="str">
        <f>Start!A10</f>
        <v xml:space="preserve">   Buchungen</v>
      </c>
      <c r="B10" s="135">
        <f>'KW 36'!S10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3">
      <c r="A11" s="24" t="str">
        <f>Start!A11</f>
        <v>SB (Mietavale/StK)</v>
      </c>
      <c r="B11" s="135">
        <f>'KW 36'!S11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5">
      <c r="A12" s="29" t="str">
        <f>Start!A12</f>
        <v>neue Mietavale</v>
      </c>
      <c r="B12" s="135">
        <f>'KW 36'!S12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5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3">
      <c r="A14" s="19" t="str">
        <f>Start!A14</f>
        <v>Vorgängerinstitute</v>
      </c>
      <c r="B14" s="135">
        <f>'KW 36'!S14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" thickBot="1" x14ac:dyDescent="0.35">
      <c r="A15" s="29" t="str">
        <f>Start!A15</f>
        <v>Einfachaufträge</v>
      </c>
      <c r="B15" s="135">
        <f>'KW 36'!S15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5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" hidden="1" thickBot="1" x14ac:dyDescent="0.35">
      <c r="A17" s="41">
        <f>Start!A17</f>
        <v>0</v>
      </c>
      <c r="B17" s="135">
        <f>'KW 36'!S17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" thickBot="1" x14ac:dyDescent="0.35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" thickBot="1" x14ac:dyDescent="0.35">
      <c r="A20" s="41" t="str">
        <f>Start!A20</f>
        <v>Postbearbeitung</v>
      </c>
      <c r="B20" s="139">
        <f>'KW 36'!S20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5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3">
      <c r="A22" s="19" t="str">
        <f>Start!A22</f>
        <v>SWP Mailbox</v>
      </c>
      <c r="B22" s="134">
        <f>'KW 36'!S22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3">
      <c r="A23" s="24" t="str">
        <f>Start!A23</f>
        <v>KCB Mailbox</v>
      </c>
      <c r="B23" s="135">
        <f>'KW 36'!S23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" thickBot="1" x14ac:dyDescent="0.35">
      <c r="A24" s="29" t="str">
        <f>Start!A24</f>
        <v>SNOW</v>
      </c>
      <c r="B24" s="136">
        <f>'KW 36'!S24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5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3">
      <c r="A26" s="19" t="str">
        <f>Start!A26</f>
        <v>Antragsvorprüfung</v>
      </c>
      <c r="B26" s="134">
        <f>'KW 36'!S26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3">
      <c r="A27" s="24" t="str">
        <f>Start!A27</f>
        <v>LV TAZ</v>
      </c>
      <c r="B27" s="135">
        <f>'KW 36'!S27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" thickBot="1" x14ac:dyDescent="0.35">
      <c r="A28" s="29" t="str">
        <f>Start!A28</f>
        <v>WGV</v>
      </c>
      <c r="B28" s="136">
        <f>'KW 36'!S28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5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" thickBot="1" x14ac:dyDescent="0.35">
      <c r="A30" s="41" t="str">
        <f>Start!A30</f>
        <v>Postbearbeitung BCB</v>
      </c>
      <c r="B30" s="139">
        <f>'KW 36'!S30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" thickBot="1" x14ac:dyDescent="0.35">
      <c r="W32" s="56"/>
    </row>
    <row r="33" spans="1:23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" thickBot="1" x14ac:dyDescent="0.35">
      <c r="Q34" s="59"/>
      <c r="R34" s="59"/>
    </row>
    <row r="35" spans="1:23" ht="15.6" thickTop="1" thickBot="1" x14ac:dyDescent="0.35">
      <c r="A35" s="109" t="str">
        <f>Start!$A$35</f>
        <v>Übertrag Archiv Vorwoche</v>
      </c>
      <c r="B35" s="144">
        <f>'KW 36'!S35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3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" thickTop="1" x14ac:dyDescent="0.3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322" priority="12">
      <formula>Wochetag($C$3:$P$3,2)&gt;5</formula>
    </cfRule>
  </conditionalFormatting>
  <conditionalFormatting sqref="K25:L25 K29:L29">
    <cfRule type="expression" dxfId="321" priority="11">
      <formula>Wochetag($C$3:$P$3,2)&gt;5</formula>
    </cfRule>
  </conditionalFormatting>
  <conditionalFormatting sqref="C25:J25 C29:J29">
    <cfRule type="expression" dxfId="320" priority="10">
      <formula>Wochetag($C$3:$P$3,2)&gt;5</formula>
    </cfRule>
  </conditionalFormatting>
  <conditionalFormatting sqref="M29:P29">
    <cfRule type="expression" dxfId="319" priority="9">
      <formula>Wochetag($C$3:$P$3,2)&gt;5</formula>
    </cfRule>
  </conditionalFormatting>
  <conditionalFormatting sqref="M11:P11">
    <cfRule type="expression" dxfId="318" priority="8">
      <formula>Wochetag($C$3:$P$3,2)&gt;5</formula>
    </cfRule>
  </conditionalFormatting>
  <conditionalFormatting sqref="C9:L12">
    <cfRule type="expression" dxfId="317" priority="7">
      <formula>Wochetag($C$3:$P$3,2)&gt;5</formula>
    </cfRule>
  </conditionalFormatting>
  <conditionalFormatting sqref="C14:L15">
    <cfRule type="expression" dxfId="316" priority="6">
      <formula>Wochetag($C$3:$P$3,2)&gt;5</formula>
    </cfRule>
  </conditionalFormatting>
  <conditionalFormatting sqref="C17:L17">
    <cfRule type="expression" dxfId="315" priority="5">
      <formula>Wochetag($C$3:$P$3,2)&gt;5</formula>
    </cfRule>
  </conditionalFormatting>
  <conditionalFormatting sqref="C20:L20">
    <cfRule type="expression" dxfId="314" priority="4">
      <formula>Wochetag($C$3:$P$3,2)&gt;5</formula>
    </cfRule>
  </conditionalFormatting>
  <conditionalFormatting sqref="C22:L24">
    <cfRule type="expression" dxfId="313" priority="3">
      <formula>Wochetag($C$3:$P$3,2)&gt;5</formula>
    </cfRule>
  </conditionalFormatting>
  <conditionalFormatting sqref="C26:L28">
    <cfRule type="expression" dxfId="312" priority="2">
      <formula>Wochetag($C$3:$P$3,2)&gt;5</formula>
    </cfRule>
  </conditionalFormatting>
  <conditionalFormatting sqref="C30:L30">
    <cfRule type="expression" dxfId="311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1"/>
  <dimension ref="A1:W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3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" thickBot="1" x14ac:dyDescent="0.35">
      <c r="A3" s="177" t="s">
        <v>20</v>
      </c>
      <c r="B3" s="181" t="s">
        <v>21</v>
      </c>
      <c r="C3" s="91">
        <f>'KW 1'!$C$3+259</f>
        <v>44459</v>
      </c>
      <c r="D3" s="92">
        <f>C3</f>
        <v>44459</v>
      </c>
      <c r="E3" s="91">
        <f>C3+1</f>
        <v>44460</v>
      </c>
      <c r="F3" s="92">
        <f>E3</f>
        <v>44460</v>
      </c>
      <c r="G3" s="91">
        <f>C3+2</f>
        <v>44461</v>
      </c>
      <c r="H3" s="92">
        <f>G3</f>
        <v>44461</v>
      </c>
      <c r="I3" s="91">
        <f>C3+3</f>
        <v>44462</v>
      </c>
      <c r="J3" s="92">
        <f>I3</f>
        <v>44462</v>
      </c>
      <c r="K3" s="91">
        <f>C3+4</f>
        <v>44463</v>
      </c>
      <c r="L3" s="92">
        <f>K3</f>
        <v>44463</v>
      </c>
      <c r="M3" s="91">
        <f>C3+5</f>
        <v>44464</v>
      </c>
      <c r="N3" s="92">
        <f>M3</f>
        <v>44464</v>
      </c>
      <c r="O3" s="91">
        <f>C3+6</f>
        <v>44465</v>
      </c>
      <c r="P3" s="92">
        <f>O3</f>
        <v>44465</v>
      </c>
      <c r="Q3" s="14" t="s">
        <v>0</v>
      </c>
      <c r="R3" s="15" t="s">
        <v>0</v>
      </c>
      <c r="S3" s="177" t="s">
        <v>1</v>
      </c>
      <c r="T3" s="177" t="s">
        <v>2</v>
      </c>
      <c r="U3" s="179" t="s">
        <v>3</v>
      </c>
      <c r="V3" s="175"/>
      <c r="W3" s="175" t="s">
        <v>4</v>
      </c>
    </row>
    <row r="4" spans="1:23" ht="15" thickBot="1" x14ac:dyDescent="0.35">
      <c r="A4" s="178"/>
      <c r="B4" s="182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80"/>
      <c r="V4" s="176"/>
      <c r="W4" s="176"/>
    </row>
    <row r="5" spans="1:23" x14ac:dyDescent="0.3">
      <c r="A5" s="19" t="str">
        <f>Start!A5</f>
        <v>Postbearbeitung Bestand</v>
      </c>
      <c r="B5" s="134">
        <f>'KW 37'!S5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3">
      <c r="A6" s="24" t="str">
        <f>Start!A6</f>
        <v>Mailbox</v>
      </c>
      <c r="B6" s="135">
        <f>'KW 37'!S6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" thickBot="1" x14ac:dyDescent="0.35">
      <c r="A7" s="29" t="str">
        <f>Start!A7</f>
        <v>Eilige</v>
      </c>
      <c r="B7" s="136">
        <f>'KW 37'!S7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5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3">
      <c r="A9" s="19" t="str">
        <f>Start!A9</f>
        <v>OVE Abfragen</v>
      </c>
      <c r="B9" s="134">
        <f>'KW 37'!S9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3">
      <c r="A10" s="24" t="str">
        <f>Start!A10</f>
        <v xml:space="preserve">   Buchungen</v>
      </c>
      <c r="B10" s="135">
        <f>'KW 37'!S10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3">
      <c r="A11" s="24" t="str">
        <f>Start!A11</f>
        <v>SB (Mietavale/StK)</v>
      </c>
      <c r="B11" s="135">
        <f>'KW 37'!S11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5">
      <c r="A12" s="29" t="str">
        <f>Start!A12</f>
        <v>neue Mietavale</v>
      </c>
      <c r="B12" s="136">
        <f>'KW 37'!S12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5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3">
      <c r="A14" s="19" t="str">
        <f>Start!A14</f>
        <v>Vorgängerinstitute</v>
      </c>
      <c r="B14" s="134">
        <f>'KW 37'!S14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" thickBot="1" x14ac:dyDescent="0.35">
      <c r="A15" s="29" t="str">
        <f>Start!A15</f>
        <v>Einfachaufträge</v>
      </c>
      <c r="B15" s="136">
        <f>'KW 37'!S15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5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" hidden="1" thickBot="1" x14ac:dyDescent="0.35">
      <c r="A17" s="41">
        <f>Start!A17</f>
        <v>0</v>
      </c>
      <c r="B17" s="134">
        <f>'KW 37'!S17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" thickBot="1" x14ac:dyDescent="0.35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" thickBot="1" x14ac:dyDescent="0.35">
      <c r="A20" s="41" t="str">
        <f>Start!A20</f>
        <v>Postbearbeitung</v>
      </c>
      <c r="B20" s="134">
        <f>'KW 37'!S20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5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3">
      <c r="A22" s="19" t="str">
        <f>Start!A22</f>
        <v>SWP Mailbox</v>
      </c>
      <c r="B22" s="134">
        <f>'KW 37'!S22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3">
      <c r="A23" s="24" t="str">
        <f>Start!A23</f>
        <v>KCB Mailbox</v>
      </c>
      <c r="B23" s="135">
        <f>'KW 37'!S23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" thickBot="1" x14ac:dyDescent="0.35">
      <c r="A24" s="29" t="str">
        <f>Start!A24</f>
        <v>SNOW</v>
      </c>
      <c r="B24" s="136">
        <f>'KW 37'!S24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5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3">
      <c r="A26" s="19" t="str">
        <f>Start!A26</f>
        <v>Antragsvorprüfung</v>
      </c>
      <c r="B26" s="134">
        <f>'KW 37'!S26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3">
      <c r="A27" s="24" t="str">
        <f>Start!A27</f>
        <v>LV TAZ</v>
      </c>
      <c r="B27" s="135">
        <f>'KW 37'!S27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" thickBot="1" x14ac:dyDescent="0.35">
      <c r="A28" s="29" t="str">
        <f>Start!A28</f>
        <v>WGV</v>
      </c>
      <c r="B28" s="136">
        <f>'KW 37'!S28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5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" thickBot="1" x14ac:dyDescent="0.35">
      <c r="A30" s="41" t="str">
        <f>Start!A30</f>
        <v>Postbearbeitung BCB</v>
      </c>
      <c r="B30" s="134">
        <f>'KW 37'!S30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" thickBot="1" x14ac:dyDescent="0.35">
      <c r="W32" s="56"/>
    </row>
    <row r="33" spans="1:23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" thickBot="1" x14ac:dyDescent="0.35">
      <c r="Q34" s="59"/>
      <c r="R34" s="59"/>
    </row>
    <row r="35" spans="1:23" ht="15.6" thickTop="1" thickBot="1" x14ac:dyDescent="0.35">
      <c r="A35" s="109" t="str">
        <f>Start!$A$35</f>
        <v>Übertrag Archiv Vorwoche</v>
      </c>
      <c r="B35" s="144">
        <f>'KW 37'!S35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3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" thickTop="1" x14ac:dyDescent="0.3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310" priority="12">
      <formula>Wochetag($C$3:$P$3,2)&gt;5</formula>
    </cfRule>
  </conditionalFormatting>
  <conditionalFormatting sqref="K25:L25 K29:L29">
    <cfRule type="expression" dxfId="309" priority="11">
      <formula>Wochetag($C$3:$P$3,2)&gt;5</formula>
    </cfRule>
  </conditionalFormatting>
  <conditionalFormatting sqref="C25:J25 C29:J29">
    <cfRule type="expression" dxfId="308" priority="10">
      <formula>Wochetag($C$3:$P$3,2)&gt;5</formula>
    </cfRule>
  </conditionalFormatting>
  <conditionalFormatting sqref="M29:P29">
    <cfRule type="expression" dxfId="307" priority="9">
      <formula>Wochetag($C$3:$P$3,2)&gt;5</formula>
    </cfRule>
  </conditionalFormatting>
  <conditionalFormatting sqref="M11:P11">
    <cfRule type="expression" dxfId="306" priority="8">
      <formula>Wochetag($C$3:$P$3,2)&gt;5</formula>
    </cfRule>
  </conditionalFormatting>
  <conditionalFormatting sqref="C9:L12">
    <cfRule type="expression" dxfId="305" priority="7">
      <formula>Wochetag($C$3:$P$3,2)&gt;5</formula>
    </cfRule>
  </conditionalFormatting>
  <conditionalFormatting sqref="C14:L15">
    <cfRule type="expression" dxfId="304" priority="6">
      <formula>Wochetag($C$3:$P$3,2)&gt;5</formula>
    </cfRule>
  </conditionalFormatting>
  <conditionalFormatting sqref="C17:L17">
    <cfRule type="expression" dxfId="303" priority="5">
      <formula>Wochetag($C$3:$P$3,2)&gt;5</formula>
    </cfRule>
  </conditionalFormatting>
  <conditionalFormatting sqref="C20:L20">
    <cfRule type="expression" dxfId="302" priority="4">
      <formula>Wochetag($C$3:$P$3,2)&gt;5</formula>
    </cfRule>
  </conditionalFormatting>
  <conditionalFormatting sqref="C22:L24">
    <cfRule type="expression" dxfId="301" priority="3">
      <formula>Wochetag($C$3:$P$3,2)&gt;5</formula>
    </cfRule>
  </conditionalFormatting>
  <conditionalFormatting sqref="C26:L28">
    <cfRule type="expression" dxfId="300" priority="2">
      <formula>Wochetag($C$3:$P$3,2)&gt;5</formula>
    </cfRule>
  </conditionalFormatting>
  <conditionalFormatting sqref="C30:L30">
    <cfRule type="expression" dxfId="299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2"/>
  <dimension ref="A1:W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3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>Tag der deutschen Einheit</v>
      </c>
    </row>
    <row r="3" spans="1:23" ht="15" thickBot="1" x14ac:dyDescent="0.35">
      <c r="A3" s="177" t="s">
        <v>20</v>
      </c>
      <c r="B3" s="181" t="s">
        <v>21</v>
      </c>
      <c r="C3" s="91">
        <f>'KW 1'!$C$3+266</f>
        <v>44466</v>
      </c>
      <c r="D3" s="92">
        <f>C3</f>
        <v>44466</v>
      </c>
      <c r="E3" s="91">
        <f>C3+1</f>
        <v>44467</v>
      </c>
      <c r="F3" s="92">
        <f>E3</f>
        <v>44467</v>
      </c>
      <c r="G3" s="91">
        <f>C3+2</f>
        <v>44468</v>
      </c>
      <c r="H3" s="92">
        <f>G3</f>
        <v>44468</v>
      </c>
      <c r="I3" s="91">
        <f>C3+3</f>
        <v>44469</v>
      </c>
      <c r="J3" s="92">
        <f>I3</f>
        <v>44469</v>
      </c>
      <c r="K3" s="91">
        <f>C3+4</f>
        <v>44470</v>
      </c>
      <c r="L3" s="92">
        <f>K3</f>
        <v>44470</v>
      </c>
      <c r="M3" s="91">
        <f>C3+5</f>
        <v>44471</v>
      </c>
      <c r="N3" s="92">
        <f>M3</f>
        <v>44471</v>
      </c>
      <c r="O3" s="91">
        <f>C3+6</f>
        <v>44472</v>
      </c>
      <c r="P3" s="92">
        <f>O3</f>
        <v>44472</v>
      </c>
      <c r="Q3" s="14" t="s">
        <v>0</v>
      </c>
      <c r="R3" s="15" t="s">
        <v>0</v>
      </c>
      <c r="S3" s="177" t="s">
        <v>1</v>
      </c>
      <c r="T3" s="177" t="s">
        <v>2</v>
      </c>
      <c r="U3" s="179" t="s">
        <v>3</v>
      </c>
      <c r="V3" s="175"/>
      <c r="W3" s="175" t="s">
        <v>4</v>
      </c>
    </row>
    <row r="4" spans="1:23" ht="15" thickBot="1" x14ac:dyDescent="0.35">
      <c r="A4" s="178"/>
      <c r="B4" s="182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80"/>
      <c r="V4" s="176"/>
      <c r="W4" s="176"/>
    </row>
    <row r="5" spans="1:23" x14ac:dyDescent="0.3">
      <c r="A5" s="19" t="str">
        <f>Start!A5</f>
        <v>Postbearbeitung Bestand</v>
      </c>
      <c r="B5" s="134">
        <f>'KW 38'!S5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3">
      <c r="A6" s="24" t="str">
        <f>Start!A6</f>
        <v>Mailbox</v>
      </c>
      <c r="B6" s="135">
        <f>'KW 38'!S6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" thickBot="1" x14ac:dyDescent="0.35">
      <c r="A7" s="29" t="str">
        <f>Start!A7</f>
        <v>Eilige</v>
      </c>
      <c r="B7" s="136">
        <f>'KW 38'!S7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5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3">
      <c r="A9" s="19" t="str">
        <f>Start!A9</f>
        <v>OVE Abfragen</v>
      </c>
      <c r="B9" s="135">
        <f>'KW 38'!S9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3">
      <c r="A10" s="24" t="str">
        <f>Start!A10</f>
        <v xml:space="preserve">   Buchungen</v>
      </c>
      <c r="B10" s="135">
        <f>'KW 38'!S10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3">
      <c r="A11" s="24" t="str">
        <f>Start!A11</f>
        <v>SB (Mietavale/StK)</v>
      </c>
      <c r="B11" s="135">
        <f>'KW 38'!S11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5">
      <c r="A12" s="29" t="str">
        <f>Start!A12</f>
        <v>neue Mietavale</v>
      </c>
      <c r="B12" s="135">
        <f>'KW 38'!S12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5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3">
      <c r="A14" s="19" t="str">
        <f>Start!A14</f>
        <v>Vorgängerinstitute</v>
      </c>
      <c r="B14" s="135">
        <f>'KW 38'!S14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" thickBot="1" x14ac:dyDescent="0.35">
      <c r="A15" s="29" t="str">
        <f>Start!A15</f>
        <v>Einfachaufträge</v>
      </c>
      <c r="B15" s="135">
        <f>'KW 38'!S15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5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" hidden="1" thickBot="1" x14ac:dyDescent="0.35">
      <c r="A17" s="41">
        <f>Start!A17</f>
        <v>0</v>
      </c>
      <c r="B17" s="135">
        <f>'KW 38'!S17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" thickBot="1" x14ac:dyDescent="0.35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" thickBot="1" x14ac:dyDescent="0.35">
      <c r="A20" s="41" t="str">
        <f>Start!A20</f>
        <v>Postbearbeitung</v>
      </c>
      <c r="B20" s="139">
        <f>'KW 38'!S20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5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3">
      <c r="A22" s="19" t="str">
        <f>Start!A22</f>
        <v>SWP Mailbox</v>
      </c>
      <c r="B22" s="134">
        <f>'KW 38'!S22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3">
      <c r="A23" s="24" t="str">
        <f>Start!A23</f>
        <v>KCB Mailbox</v>
      </c>
      <c r="B23" s="135">
        <f>'KW 38'!S23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" thickBot="1" x14ac:dyDescent="0.35">
      <c r="A24" s="29" t="str">
        <f>Start!A24</f>
        <v>SNOW</v>
      </c>
      <c r="B24" s="136">
        <f>'KW 38'!S24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5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3">
      <c r="A26" s="19" t="str">
        <f>Start!A26</f>
        <v>Antragsvorprüfung</v>
      </c>
      <c r="B26" s="134">
        <f>'KW 38'!S26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3">
      <c r="A27" s="24" t="str">
        <f>Start!A27</f>
        <v>LV TAZ</v>
      </c>
      <c r="B27" s="135">
        <f>'KW 38'!S27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" thickBot="1" x14ac:dyDescent="0.35">
      <c r="A28" s="29" t="str">
        <f>Start!A28</f>
        <v>WGV</v>
      </c>
      <c r="B28" s="136">
        <f>'KW 38'!S28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5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" thickBot="1" x14ac:dyDescent="0.35">
      <c r="A30" s="41" t="str">
        <f>Start!A30</f>
        <v>Postbearbeitung BCB</v>
      </c>
      <c r="B30" s="139">
        <f>'KW 38'!S30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" thickBot="1" x14ac:dyDescent="0.35">
      <c r="W32" s="56"/>
    </row>
    <row r="33" spans="1:23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" thickBot="1" x14ac:dyDescent="0.35">
      <c r="Q34" s="59"/>
      <c r="R34" s="59"/>
    </row>
    <row r="35" spans="1:23" ht="15.6" thickTop="1" thickBot="1" x14ac:dyDescent="0.35">
      <c r="A35" s="109" t="str">
        <f>Start!$A$35</f>
        <v>Übertrag Archiv Vorwoche</v>
      </c>
      <c r="B35" s="144">
        <f>'KW 38'!S35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3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" thickTop="1" x14ac:dyDescent="0.3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298" priority="12">
      <formula>Wochetag($C$3:$P$3,2)&gt;5</formula>
    </cfRule>
  </conditionalFormatting>
  <conditionalFormatting sqref="K25:L25 K29:L29">
    <cfRule type="expression" dxfId="297" priority="11">
      <formula>Wochetag($C$3:$P$3,2)&gt;5</formula>
    </cfRule>
  </conditionalFormatting>
  <conditionalFormatting sqref="C25:J25 C29:J29">
    <cfRule type="expression" dxfId="296" priority="10">
      <formula>Wochetag($C$3:$P$3,2)&gt;5</formula>
    </cfRule>
  </conditionalFormatting>
  <conditionalFormatting sqref="M29:P29">
    <cfRule type="expression" dxfId="295" priority="9">
      <formula>Wochetag($C$3:$P$3,2)&gt;5</formula>
    </cfRule>
  </conditionalFormatting>
  <conditionalFormatting sqref="M11:P11">
    <cfRule type="expression" dxfId="294" priority="8">
      <formula>Wochetag($C$3:$P$3,2)&gt;5</formula>
    </cfRule>
  </conditionalFormatting>
  <conditionalFormatting sqref="C9:L12">
    <cfRule type="expression" dxfId="293" priority="7">
      <formula>Wochetag($C$3:$P$3,2)&gt;5</formula>
    </cfRule>
  </conditionalFormatting>
  <conditionalFormatting sqref="C14:L15">
    <cfRule type="expression" dxfId="292" priority="6">
      <formula>Wochetag($C$3:$P$3,2)&gt;5</formula>
    </cfRule>
  </conditionalFormatting>
  <conditionalFormatting sqref="C17:L17">
    <cfRule type="expression" dxfId="291" priority="5">
      <formula>Wochetag($C$3:$P$3,2)&gt;5</formula>
    </cfRule>
  </conditionalFormatting>
  <conditionalFormatting sqref="C20:L20">
    <cfRule type="expression" dxfId="290" priority="4">
      <formula>Wochetag($C$3:$P$3,2)&gt;5</formula>
    </cfRule>
  </conditionalFormatting>
  <conditionalFormatting sqref="C22:L24">
    <cfRule type="expression" dxfId="289" priority="3">
      <formula>Wochetag($C$3:$P$3,2)&gt;5</formula>
    </cfRule>
  </conditionalFormatting>
  <conditionalFormatting sqref="C26:L28">
    <cfRule type="expression" dxfId="288" priority="2">
      <formula>Wochetag($C$3:$P$3,2)&gt;5</formula>
    </cfRule>
  </conditionalFormatting>
  <conditionalFormatting sqref="C30:L30">
    <cfRule type="expression" dxfId="287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3"/>
  <dimension ref="A1:W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3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" thickBot="1" x14ac:dyDescent="0.35">
      <c r="A3" s="177" t="s">
        <v>20</v>
      </c>
      <c r="B3" s="181" t="s">
        <v>21</v>
      </c>
      <c r="C3" s="91">
        <f>'KW 1'!$C$3+273</f>
        <v>44473</v>
      </c>
      <c r="D3" s="92">
        <f>C3</f>
        <v>44473</v>
      </c>
      <c r="E3" s="91">
        <f>C3+1</f>
        <v>44474</v>
      </c>
      <c r="F3" s="92">
        <f>E3</f>
        <v>44474</v>
      </c>
      <c r="G3" s="91">
        <f>C3+2</f>
        <v>44475</v>
      </c>
      <c r="H3" s="92">
        <f>G3</f>
        <v>44475</v>
      </c>
      <c r="I3" s="91">
        <f>C3+3</f>
        <v>44476</v>
      </c>
      <c r="J3" s="92">
        <f>I3</f>
        <v>44476</v>
      </c>
      <c r="K3" s="91">
        <f>C3+4</f>
        <v>44477</v>
      </c>
      <c r="L3" s="92">
        <f>K3</f>
        <v>44477</v>
      </c>
      <c r="M3" s="91">
        <f>C3+5</f>
        <v>44478</v>
      </c>
      <c r="N3" s="92">
        <f>M3</f>
        <v>44478</v>
      </c>
      <c r="O3" s="91">
        <f>C3+6</f>
        <v>44479</v>
      </c>
      <c r="P3" s="92">
        <f>O3</f>
        <v>44479</v>
      </c>
      <c r="Q3" s="14" t="s">
        <v>0</v>
      </c>
      <c r="R3" s="15" t="s">
        <v>0</v>
      </c>
      <c r="S3" s="177" t="s">
        <v>1</v>
      </c>
      <c r="T3" s="177" t="s">
        <v>2</v>
      </c>
      <c r="U3" s="179" t="s">
        <v>3</v>
      </c>
      <c r="V3" s="175"/>
      <c r="W3" s="175" t="s">
        <v>4</v>
      </c>
    </row>
    <row r="4" spans="1:23" ht="15" thickBot="1" x14ac:dyDescent="0.35">
      <c r="A4" s="178"/>
      <c r="B4" s="182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80"/>
      <c r="V4" s="176"/>
      <c r="W4" s="176"/>
    </row>
    <row r="5" spans="1:23" x14ac:dyDescent="0.3">
      <c r="A5" s="19" t="str">
        <f>Start!A5</f>
        <v>Postbearbeitung Bestand</v>
      </c>
      <c r="B5" s="134">
        <f>'KW 39'!S5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3">
      <c r="A6" s="24" t="str">
        <f>Start!A6</f>
        <v>Mailbox</v>
      </c>
      <c r="B6" s="135">
        <f>'KW 39'!S6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" thickBot="1" x14ac:dyDescent="0.35">
      <c r="A7" s="29" t="str">
        <f>Start!A7</f>
        <v>Eilige</v>
      </c>
      <c r="B7" s="136">
        <f>'KW 39'!S7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5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3">
      <c r="A9" s="19" t="str">
        <f>Start!A9</f>
        <v>OVE Abfragen</v>
      </c>
      <c r="B9" s="135">
        <f>'KW 39'!S9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3">
      <c r="A10" s="24" t="str">
        <f>Start!A10</f>
        <v xml:space="preserve">   Buchungen</v>
      </c>
      <c r="B10" s="135">
        <f>'KW 39'!S10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3">
      <c r="A11" s="24" t="str">
        <f>Start!A11</f>
        <v>SB (Mietavale/StK)</v>
      </c>
      <c r="B11" s="135">
        <f>'KW 39'!S11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5">
      <c r="A12" s="29" t="str">
        <f>Start!A12</f>
        <v>neue Mietavale</v>
      </c>
      <c r="B12" s="135">
        <f>'KW 39'!S12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5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3">
      <c r="A14" s="19" t="str">
        <f>Start!A14</f>
        <v>Vorgängerinstitute</v>
      </c>
      <c r="B14" s="135">
        <f>'KW 39'!S14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" thickBot="1" x14ac:dyDescent="0.35">
      <c r="A15" s="29" t="str">
        <f>Start!A15</f>
        <v>Einfachaufträge</v>
      </c>
      <c r="B15" s="135">
        <f>'KW 39'!S15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5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" hidden="1" thickBot="1" x14ac:dyDescent="0.35">
      <c r="A17" s="41">
        <f>Start!A17</f>
        <v>0</v>
      </c>
      <c r="B17" s="135">
        <f>'KW 39'!S17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" thickBot="1" x14ac:dyDescent="0.35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" thickBot="1" x14ac:dyDescent="0.35">
      <c r="A20" s="41" t="str">
        <f>Start!A20</f>
        <v>Postbearbeitung</v>
      </c>
      <c r="B20" s="139">
        <f>'KW 39'!S20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5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3">
      <c r="A22" s="19" t="str">
        <f>Start!A22</f>
        <v>SWP Mailbox</v>
      </c>
      <c r="B22" s="134">
        <f>'KW 39'!S22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3">
      <c r="A23" s="24" t="str">
        <f>Start!A23</f>
        <v>KCB Mailbox</v>
      </c>
      <c r="B23" s="135">
        <f>'KW 39'!S23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" thickBot="1" x14ac:dyDescent="0.35">
      <c r="A24" s="29" t="str">
        <f>Start!A24</f>
        <v>SNOW</v>
      </c>
      <c r="B24" s="136">
        <f>'KW 39'!S24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5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3">
      <c r="A26" s="19" t="str">
        <f>Start!A26</f>
        <v>Antragsvorprüfung</v>
      </c>
      <c r="B26" s="134">
        <f>'KW 39'!S26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3">
      <c r="A27" s="24" t="str">
        <f>Start!A27</f>
        <v>LV TAZ</v>
      </c>
      <c r="B27" s="135">
        <f>'KW 39'!S27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" thickBot="1" x14ac:dyDescent="0.35">
      <c r="A28" s="29" t="str">
        <f>Start!A28</f>
        <v>WGV</v>
      </c>
      <c r="B28" s="136">
        <f>'KW 39'!S28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5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" thickBot="1" x14ac:dyDescent="0.35">
      <c r="A30" s="41" t="str">
        <f>Start!A30</f>
        <v>Postbearbeitung BCB</v>
      </c>
      <c r="B30" s="139">
        <f>'KW 39'!S30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" thickBot="1" x14ac:dyDescent="0.35">
      <c r="W32" s="56"/>
    </row>
    <row r="33" spans="1:23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" thickBot="1" x14ac:dyDescent="0.35">
      <c r="Q34" s="59"/>
      <c r="R34" s="59"/>
    </row>
    <row r="35" spans="1:23" ht="15.6" thickTop="1" thickBot="1" x14ac:dyDescent="0.35">
      <c r="A35" s="109" t="str">
        <f>Start!$A$35</f>
        <v>Übertrag Archiv Vorwoche</v>
      </c>
      <c r="B35" s="144">
        <f>'KW 39'!S35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3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" thickTop="1" x14ac:dyDescent="0.3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286" priority="12">
      <formula>Wochetag($C$3:$P$3,2)&gt;5</formula>
    </cfRule>
  </conditionalFormatting>
  <conditionalFormatting sqref="K25:L25 K29:L29">
    <cfRule type="expression" dxfId="285" priority="11">
      <formula>Wochetag($C$3:$P$3,2)&gt;5</formula>
    </cfRule>
  </conditionalFormatting>
  <conditionalFormatting sqref="C25:J25 C29:J29">
    <cfRule type="expression" dxfId="284" priority="10">
      <formula>Wochetag($C$3:$P$3,2)&gt;5</formula>
    </cfRule>
  </conditionalFormatting>
  <conditionalFormatting sqref="M29:P29">
    <cfRule type="expression" dxfId="283" priority="9">
      <formula>Wochetag($C$3:$P$3,2)&gt;5</formula>
    </cfRule>
  </conditionalFormatting>
  <conditionalFormatting sqref="M11:P11">
    <cfRule type="expression" dxfId="282" priority="8">
      <formula>Wochetag($C$3:$P$3,2)&gt;5</formula>
    </cfRule>
  </conditionalFormatting>
  <conditionalFormatting sqref="C9:L12">
    <cfRule type="expression" dxfId="281" priority="7">
      <formula>Wochetag($C$3:$P$3,2)&gt;5</formula>
    </cfRule>
  </conditionalFormatting>
  <conditionalFormatting sqref="C14:L15">
    <cfRule type="expression" dxfId="280" priority="6">
      <formula>Wochetag($C$3:$P$3,2)&gt;5</formula>
    </cfRule>
  </conditionalFormatting>
  <conditionalFormatting sqref="C17:L17">
    <cfRule type="expression" dxfId="279" priority="5">
      <formula>Wochetag($C$3:$P$3,2)&gt;5</formula>
    </cfRule>
  </conditionalFormatting>
  <conditionalFormatting sqref="C20:L20">
    <cfRule type="expression" dxfId="278" priority="4">
      <formula>Wochetag($C$3:$P$3,2)&gt;5</formula>
    </cfRule>
  </conditionalFormatting>
  <conditionalFormatting sqref="C22:L24">
    <cfRule type="expression" dxfId="277" priority="3">
      <formula>Wochetag($C$3:$P$3,2)&gt;5</formula>
    </cfRule>
  </conditionalFormatting>
  <conditionalFormatting sqref="C26:L28">
    <cfRule type="expression" dxfId="276" priority="2">
      <formula>Wochetag($C$3:$P$3,2)&gt;5</formula>
    </cfRule>
  </conditionalFormatting>
  <conditionalFormatting sqref="C30:L30">
    <cfRule type="expression" dxfId="275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4"/>
  <dimension ref="A1:W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3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" thickBot="1" x14ac:dyDescent="0.35">
      <c r="A3" s="177" t="s">
        <v>20</v>
      </c>
      <c r="B3" s="181" t="s">
        <v>21</v>
      </c>
      <c r="C3" s="91">
        <f>'KW 1'!$C$3+280</f>
        <v>44480</v>
      </c>
      <c r="D3" s="92">
        <f>C3</f>
        <v>44480</v>
      </c>
      <c r="E3" s="91">
        <f>C3+1</f>
        <v>44481</v>
      </c>
      <c r="F3" s="92">
        <f>E3</f>
        <v>44481</v>
      </c>
      <c r="G3" s="91">
        <f>C3+2</f>
        <v>44482</v>
      </c>
      <c r="H3" s="92">
        <f>G3</f>
        <v>44482</v>
      </c>
      <c r="I3" s="91">
        <f>C3+3</f>
        <v>44483</v>
      </c>
      <c r="J3" s="92">
        <f>I3</f>
        <v>44483</v>
      </c>
      <c r="K3" s="91">
        <f>C3+4</f>
        <v>44484</v>
      </c>
      <c r="L3" s="92">
        <f>K3</f>
        <v>44484</v>
      </c>
      <c r="M3" s="91">
        <f>C3+5</f>
        <v>44485</v>
      </c>
      <c r="N3" s="92">
        <f>M3</f>
        <v>44485</v>
      </c>
      <c r="O3" s="91">
        <f>C3+6</f>
        <v>44486</v>
      </c>
      <c r="P3" s="92">
        <f>O3</f>
        <v>44486</v>
      </c>
      <c r="Q3" s="14" t="s">
        <v>0</v>
      </c>
      <c r="R3" s="15" t="s">
        <v>0</v>
      </c>
      <c r="S3" s="177" t="s">
        <v>1</v>
      </c>
      <c r="T3" s="177" t="s">
        <v>2</v>
      </c>
      <c r="U3" s="179" t="s">
        <v>3</v>
      </c>
      <c r="V3" s="175"/>
      <c r="W3" s="175" t="s">
        <v>4</v>
      </c>
    </row>
    <row r="4" spans="1:23" ht="15" thickBot="1" x14ac:dyDescent="0.35">
      <c r="A4" s="178"/>
      <c r="B4" s="182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80"/>
      <c r="V4" s="176"/>
      <c r="W4" s="176"/>
    </row>
    <row r="5" spans="1:23" x14ac:dyDescent="0.3">
      <c r="A5" s="19" t="str">
        <f>Start!A5</f>
        <v>Postbearbeitung Bestand</v>
      </c>
      <c r="B5" s="134">
        <f>'KW 40'!S5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3">
      <c r="A6" s="24" t="str">
        <f>Start!A6</f>
        <v>Mailbox</v>
      </c>
      <c r="B6" s="135">
        <f>'KW 40'!S6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" thickBot="1" x14ac:dyDescent="0.35">
      <c r="A7" s="29" t="str">
        <f>Start!A7</f>
        <v>Eilige</v>
      </c>
      <c r="B7" s="136">
        <f>'KW 40'!S7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5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3">
      <c r="A9" s="19" t="str">
        <f>Start!A9</f>
        <v>OVE Abfragen</v>
      </c>
      <c r="B9" s="135">
        <f>'KW 40'!S9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3">
      <c r="A10" s="24" t="str">
        <f>Start!A10</f>
        <v xml:space="preserve">   Buchungen</v>
      </c>
      <c r="B10" s="135">
        <f>'KW 40'!S10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3">
      <c r="A11" s="24" t="str">
        <f>Start!A11</f>
        <v>SB (Mietavale/StK)</v>
      </c>
      <c r="B11" s="135">
        <f>'KW 40'!S11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5">
      <c r="A12" s="29" t="str">
        <f>Start!A12</f>
        <v>neue Mietavale</v>
      </c>
      <c r="B12" s="135">
        <f>'KW 40'!S12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5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3">
      <c r="A14" s="19" t="str">
        <f>Start!A14</f>
        <v>Vorgängerinstitute</v>
      </c>
      <c r="B14" s="135">
        <f>'KW 40'!S14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" thickBot="1" x14ac:dyDescent="0.35">
      <c r="A15" s="29" t="str">
        <f>Start!A15</f>
        <v>Einfachaufträge</v>
      </c>
      <c r="B15" s="135">
        <f>'KW 40'!S15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5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" hidden="1" thickBot="1" x14ac:dyDescent="0.35">
      <c r="A17" s="41">
        <f>Start!A17</f>
        <v>0</v>
      </c>
      <c r="B17" s="135">
        <f>'KW 40'!S17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" thickBot="1" x14ac:dyDescent="0.35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" thickBot="1" x14ac:dyDescent="0.35">
      <c r="A20" s="41" t="str">
        <f>Start!A20</f>
        <v>Postbearbeitung</v>
      </c>
      <c r="B20" s="139">
        <f>'KW 40'!S20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5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3">
      <c r="A22" s="19" t="str">
        <f>Start!A22</f>
        <v>SWP Mailbox</v>
      </c>
      <c r="B22" s="134">
        <f>'KW 40'!S22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3">
      <c r="A23" s="24" t="str">
        <f>Start!A23</f>
        <v>KCB Mailbox</v>
      </c>
      <c r="B23" s="135">
        <f>'KW 40'!S23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" thickBot="1" x14ac:dyDescent="0.35">
      <c r="A24" s="29" t="str">
        <f>Start!A24</f>
        <v>SNOW</v>
      </c>
      <c r="B24" s="136">
        <f>'KW 40'!S24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5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3">
      <c r="A26" s="19" t="str">
        <f>Start!A26</f>
        <v>Antragsvorprüfung</v>
      </c>
      <c r="B26" s="134">
        <f>'KW 40'!S26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3">
      <c r="A27" s="24" t="str">
        <f>Start!A27</f>
        <v>LV TAZ</v>
      </c>
      <c r="B27" s="135">
        <f>'KW 40'!S27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" thickBot="1" x14ac:dyDescent="0.35">
      <c r="A28" s="29" t="str">
        <f>Start!A28</f>
        <v>WGV</v>
      </c>
      <c r="B28" s="136">
        <f>'KW 40'!S28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5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" thickBot="1" x14ac:dyDescent="0.35">
      <c r="A30" s="41" t="str">
        <f>Start!A30</f>
        <v>Postbearbeitung BCB</v>
      </c>
      <c r="B30" s="139">
        <f>'KW 40'!S30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" thickBot="1" x14ac:dyDescent="0.35">
      <c r="W32" s="56"/>
    </row>
    <row r="33" spans="1:23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" thickBot="1" x14ac:dyDescent="0.35">
      <c r="Q34" s="59"/>
      <c r="R34" s="59"/>
    </row>
    <row r="35" spans="1:23" ht="15.6" thickTop="1" thickBot="1" x14ac:dyDescent="0.35">
      <c r="A35" s="109" t="str">
        <f>Start!$A$35</f>
        <v>Übertrag Archiv Vorwoche</v>
      </c>
      <c r="B35" s="144">
        <f>'KW 40'!S35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3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" thickTop="1" x14ac:dyDescent="0.3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274" priority="12">
      <formula>Wochetag($C$3:$P$3,2)&gt;5</formula>
    </cfRule>
  </conditionalFormatting>
  <conditionalFormatting sqref="K25:L25 K29:L29">
    <cfRule type="expression" dxfId="273" priority="11">
      <formula>Wochetag($C$3:$P$3,2)&gt;5</formula>
    </cfRule>
  </conditionalFormatting>
  <conditionalFormatting sqref="C25:J25 C29:J29">
    <cfRule type="expression" dxfId="272" priority="10">
      <formula>Wochetag($C$3:$P$3,2)&gt;5</formula>
    </cfRule>
  </conditionalFormatting>
  <conditionalFormatting sqref="M29:P29">
    <cfRule type="expression" dxfId="271" priority="9">
      <formula>Wochetag($C$3:$P$3,2)&gt;5</formula>
    </cfRule>
  </conditionalFormatting>
  <conditionalFormatting sqref="M11:P11">
    <cfRule type="expression" dxfId="270" priority="8">
      <formula>Wochetag($C$3:$P$3,2)&gt;5</formula>
    </cfRule>
  </conditionalFormatting>
  <conditionalFormatting sqref="C9:L12">
    <cfRule type="expression" dxfId="269" priority="7">
      <formula>Wochetag($C$3:$P$3,2)&gt;5</formula>
    </cfRule>
  </conditionalFormatting>
  <conditionalFormatting sqref="C14:L15">
    <cfRule type="expression" dxfId="268" priority="6">
      <formula>Wochetag($C$3:$P$3,2)&gt;5</formula>
    </cfRule>
  </conditionalFormatting>
  <conditionalFormatting sqref="C17:L17">
    <cfRule type="expression" dxfId="267" priority="5">
      <formula>Wochetag($C$3:$P$3,2)&gt;5</formula>
    </cfRule>
  </conditionalFormatting>
  <conditionalFormatting sqref="C20:L20">
    <cfRule type="expression" dxfId="266" priority="4">
      <formula>Wochetag($C$3:$P$3,2)&gt;5</formula>
    </cfRule>
  </conditionalFormatting>
  <conditionalFormatting sqref="C22:L24">
    <cfRule type="expression" dxfId="265" priority="3">
      <formula>Wochetag($C$3:$P$3,2)&gt;5</formula>
    </cfRule>
  </conditionalFormatting>
  <conditionalFormatting sqref="C26:L28">
    <cfRule type="expression" dxfId="264" priority="2">
      <formula>Wochetag($C$3:$P$3,2)&gt;5</formula>
    </cfRule>
  </conditionalFormatting>
  <conditionalFormatting sqref="C30:L30">
    <cfRule type="expression" dxfId="263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5"/>
  <dimension ref="A1:W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3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" thickBot="1" x14ac:dyDescent="0.35">
      <c r="A3" s="177" t="s">
        <v>20</v>
      </c>
      <c r="B3" s="181" t="s">
        <v>21</v>
      </c>
      <c r="C3" s="91">
        <f>'KW 1'!$C$3+287</f>
        <v>44487</v>
      </c>
      <c r="D3" s="92">
        <f>C3</f>
        <v>44487</v>
      </c>
      <c r="E3" s="91">
        <f>C3+1</f>
        <v>44488</v>
      </c>
      <c r="F3" s="92">
        <f>E3</f>
        <v>44488</v>
      </c>
      <c r="G3" s="91">
        <f>C3+2</f>
        <v>44489</v>
      </c>
      <c r="H3" s="92">
        <f>G3</f>
        <v>44489</v>
      </c>
      <c r="I3" s="91">
        <f>C3+3</f>
        <v>44490</v>
      </c>
      <c r="J3" s="92">
        <f>I3</f>
        <v>44490</v>
      </c>
      <c r="K3" s="91">
        <f>C3+4</f>
        <v>44491</v>
      </c>
      <c r="L3" s="92">
        <f>K3</f>
        <v>44491</v>
      </c>
      <c r="M3" s="91">
        <f>C3+5</f>
        <v>44492</v>
      </c>
      <c r="N3" s="92">
        <f>M3</f>
        <v>44492</v>
      </c>
      <c r="O3" s="91">
        <f>C3+6</f>
        <v>44493</v>
      </c>
      <c r="P3" s="92">
        <f>O3</f>
        <v>44493</v>
      </c>
      <c r="Q3" s="14" t="s">
        <v>0</v>
      </c>
      <c r="R3" s="15" t="s">
        <v>0</v>
      </c>
      <c r="S3" s="177" t="s">
        <v>1</v>
      </c>
      <c r="T3" s="177" t="s">
        <v>2</v>
      </c>
      <c r="U3" s="179" t="s">
        <v>3</v>
      </c>
      <c r="V3" s="175"/>
      <c r="W3" s="175" t="s">
        <v>4</v>
      </c>
    </row>
    <row r="4" spans="1:23" ht="15" thickBot="1" x14ac:dyDescent="0.35">
      <c r="A4" s="178"/>
      <c r="B4" s="182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80"/>
      <c r="V4" s="176"/>
      <c r="W4" s="176"/>
    </row>
    <row r="5" spans="1:23" x14ac:dyDescent="0.3">
      <c r="A5" s="19" t="str">
        <f>Start!A5</f>
        <v>Postbearbeitung Bestand</v>
      </c>
      <c r="B5" s="134">
        <f>'KW 41'!S5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3">
      <c r="A6" s="24" t="str">
        <f>Start!A6</f>
        <v>Mailbox</v>
      </c>
      <c r="B6" s="135">
        <f>'KW 41'!S6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" thickBot="1" x14ac:dyDescent="0.35">
      <c r="A7" s="29" t="str">
        <f>Start!A7</f>
        <v>Eilige</v>
      </c>
      <c r="B7" s="136">
        <f>'KW 41'!S7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5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3">
      <c r="A9" s="19" t="str">
        <f>Start!A9</f>
        <v>OVE Abfragen</v>
      </c>
      <c r="B9" s="135">
        <f>'KW 41'!S9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3">
      <c r="A10" s="24" t="str">
        <f>Start!A10</f>
        <v xml:space="preserve">   Buchungen</v>
      </c>
      <c r="B10" s="135">
        <f>'KW 41'!S10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3">
      <c r="A11" s="24" t="str">
        <f>Start!A11</f>
        <v>SB (Mietavale/StK)</v>
      </c>
      <c r="B11" s="135">
        <f>'KW 41'!S11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5">
      <c r="A12" s="29" t="str">
        <f>Start!A12</f>
        <v>neue Mietavale</v>
      </c>
      <c r="B12" s="135">
        <f>'KW 41'!S12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5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3">
      <c r="A14" s="19" t="str">
        <f>Start!A14</f>
        <v>Vorgängerinstitute</v>
      </c>
      <c r="B14" s="135">
        <f>'KW 41'!S14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" thickBot="1" x14ac:dyDescent="0.35">
      <c r="A15" s="29" t="str">
        <f>Start!A15</f>
        <v>Einfachaufträge</v>
      </c>
      <c r="B15" s="135">
        <f>'KW 41'!S15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5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" hidden="1" thickBot="1" x14ac:dyDescent="0.35">
      <c r="A17" s="41">
        <f>Start!A17</f>
        <v>0</v>
      </c>
      <c r="B17" s="135">
        <f>'KW 41'!S17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" thickBot="1" x14ac:dyDescent="0.35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" thickBot="1" x14ac:dyDescent="0.35">
      <c r="A20" s="41" t="str">
        <f>Start!A20</f>
        <v>Postbearbeitung</v>
      </c>
      <c r="B20" s="139">
        <f>'KW 41'!S20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5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3">
      <c r="A22" s="19" t="str">
        <f>Start!A22</f>
        <v>SWP Mailbox</v>
      </c>
      <c r="B22" s="134">
        <f>'KW 41'!S22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3">
      <c r="A23" s="24" t="str">
        <f>Start!A23</f>
        <v>KCB Mailbox</v>
      </c>
      <c r="B23" s="135">
        <f>'KW 41'!S23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" thickBot="1" x14ac:dyDescent="0.35">
      <c r="A24" s="29" t="str">
        <f>Start!A24</f>
        <v>SNOW</v>
      </c>
      <c r="B24" s="136">
        <f>'KW 41'!S24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5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3">
      <c r="A26" s="19" t="str">
        <f>Start!A26</f>
        <v>Antragsvorprüfung</v>
      </c>
      <c r="B26" s="134">
        <f>'KW 41'!S26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3">
      <c r="A27" s="24" t="str">
        <f>Start!A27</f>
        <v>LV TAZ</v>
      </c>
      <c r="B27" s="135">
        <f>'KW 41'!S27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" thickBot="1" x14ac:dyDescent="0.35">
      <c r="A28" s="29" t="str">
        <f>Start!A28</f>
        <v>WGV</v>
      </c>
      <c r="B28" s="136">
        <f>'KW 41'!S28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5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" thickBot="1" x14ac:dyDescent="0.35">
      <c r="A30" s="41" t="str">
        <f>Start!A30</f>
        <v>Postbearbeitung BCB</v>
      </c>
      <c r="B30" s="139">
        <f>'KW 41'!S30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" thickBot="1" x14ac:dyDescent="0.35">
      <c r="W32" s="56"/>
    </row>
    <row r="33" spans="1:23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" thickBot="1" x14ac:dyDescent="0.35">
      <c r="Q34" s="59"/>
      <c r="R34" s="59"/>
    </row>
    <row r="35" spans="1:23" ht="15.6" thickTop="1" thickBot="1" x14ac:dyDescent="0.35">
      <c r="A35" s="109" t="str">
        <f>Start!$A$35</f>
        <v>Übertrag Archiv Vorwoche</v>
      </c>
      <c r="B35" s="144">
        <f>'KW 41'!S35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3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" thickTop="1" x14ac:dyDescent="0.3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262" priority="12">
      <formula>Wochetag($C$3:$P$3,2)&gt;5</formula>
    </cfRule>
  </conditionalFormatting>
  <conditionalFormatting sqref="K25:L25 K29:L29">
    <cfRule type="expression" dxfId="261" priority="11">
      <formula>Wochetag($C$3:$P$3,2)&gt;5</formula>
    </cfRule>
  </conditionalFormatting>
  <conditionalFormatting sqref="C25:J25 C29:J29">
    <cfRule type="expression" dxfId="260" priority="10">
      <formula>Wochetag($C$3:$P$3,2)&gt;5</formula>
    </cfRule>
  </conditionalFormatting>
  <conditionalFormatting sqref="M29:P29">
    <cfRule type="expression" dxfId="259" priority="9">
      <formula>Wochetag($C$3:$P$3,2)&gt;5</formula>
    </cfRule>
  </conditionalFormatting>
  <conditionalFormatting sqref="M11:P11">
    <cfRule type="expression" dxfId="258" priority="8">
      <formula>Wochetag($C$3:$P$3,2)&gt;5</formula>
    </cfRule>
  </conditionalFormatting>
  <conditionalFormatting sqref="C9:L12">
    <cfRule type="expression" dxfId="257" priority="7">
      <formula>Wochetag($C$3:$P$3,2)&gt;5</formula>
    </cfRule>
  </conditionalFormatting>
  <conditionalFormatting sqref="C14:L15">
    <cfRule type="expression" dxfId="256" priority="6">
      <formula>Wochetag($C$3:$P$3,2)&gt;5</formula>
    </cfRule>
  </conditionalFormatting>
  <conditionalFormatting sqref="C17:L17">
    <cfRule type="expression" dxfId="255" priority="5">
      <formula>Wochetag($C$3:$P$3,2)&gt;5</formula>
    </cfRule>
  </conditionalFormatting>
  <conditionalFormatting sqref="C20:L20">
    <cfRule type="expression" dxfId="254" priority="4">
      <formula>Wochetag($C$3:$P$3,2)&gt;5</formula>
    </cfRule>
  </conditionalFormatting>
  <conditionalFormatting sqref="C22:L24">
    <cfRule type="expression" dxfId="253" priority="3">
      <formula>Wochetag($C$3:$P$3,2)&gt;5</formula>
    </cfRule>
  </conditionalFormatting>
  <conditionalFormatting sqref="C26:L28">
    <cfRule type="expression" dxfId="252" priority="2">
      <formula>Wochetag($C$3:$P$3,2)&gt;5</formula>
    </cfRule>
  </conditionalFormatting>
  <conditionalFormatting sqref="C30:L30">
    <cfRule type="expression" dxfId="251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6"/>
  <dimension ref="A1:W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3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" thickBot="1" x14ac:dyDescent="0.35">
      <c r="A3" s="177" t="s">
        <v>20</v>
      </c>
      <c r="B3" s="181" t="s">
        <v>21</v>
      </c>
      <c r="C3" s="91">
        <f>'KW 1'!$C$3+294</f>
        <v>44494</v>
      </c>
      <c r="D3" s="92">
        <f>C3</f>
        <v>44494</v>
      </c>
      <c r="E3" s="91">
        <f>C3+1</f>
        <v>44495</v>
      </c>
      <c r="F3" s="92">
        <f>E3</f>
        <v>44495</v>
      </c>
      <c r="G3" s="91">
        <f>C3+2</f>
        <v>44496</v>
      </c>
      <c r="H3" s="92">
        <f>G3</f>
        <v>44496</v>
      </c>
      <c r="I3" s="91">
        <f>C3+3</f>
        <v>44497</v>
      </c>
      <c r="J3" s="92">
        <f>I3</f>
        <v>44497</v>
      </c>
      <c r="K3" s="91">
        <f>C3+4</f>
        <v>44498</v>
      </c>
      <c r="L3" s="92">
        <f>K3</f>
        <v>44498</v>
      </c>
      <c r="M3" s="91">
        <f>C3+5</f>
        <v>44499</v>
      </c>
      <c r="N3" s="92">
        <f>M3</f>
        <v>44499</v>
      </c>
      <c r="O3" s="91">
        <f>C3+6</f>
        <v>44500</v>
      </c>
      <c r="P3" s="92">
        <f>O3</f>
        <v>44500</v>
      </c>
      <c r="Q3" s="14" t="s">
        <v>0</v>
      </c>
      <c r="R3" s="15" t="s">
        <v>0</v>
      </c>
      <c r="S3" s="177" t="s">
        <v>1</v>
      </c>
      <c r="T3" s="177" t="s">
        <v>2</v>
      </c>
      <c r="U3" s="179" t="s">
        <v>3</v>
      </c>
      <c r="V3" s="175"/>
      <c r="W3" s="175" t="s">
        <v>4</v>
      </c>
    </row>
    <row r="4" spans="1:23" ht="15" thickBot="1" x14ac:dyDescent="0.35">
      <c r="A4" s="178"/>
      <c r="B4" s="182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80"/>
      <c r="V4" s="176"/>
      <c r="W4" s="176"/>
    </row>
    <row r="5" spans="1:23" x14ac:dyDescent="0.3">
      <c r="A5" s="19" t="str">
        <f>Start!A5</f>
        <v>Postbearbeitung Bestand</v>
      </c>
      <c r="B5" s="134">
        <f>'KW 42'!S5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3">
      <c r="A6" s="24" t="str">
        <f>Start!A6</f>
        <v>Mailbox</v>
      </c>
      <c r="B6" s="135">
        <f>'KW 42'!S6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" thickBot="1" x14ac:dyDescent="0.35">
      <c r="A7" s="29" t="str">
        <f>Start!A7</f>
        <v>Eilige</v>
      </c>
      <c r="B7" s="136">
        <f>'KW 42'!S7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5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3">
      <c r="A9" s="19" t="str">
        <f>Start!A9</f>
        <v>OVE Abfragen</v>
      </c>
      <c r="B9" s="135">
        <f>'KW 42'!S9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3">
      <c r="A10" s="24" t="str">
        <f>Start!A10</f>
        <v xml:space="preserve">   Buchungen</v>
      </c>
      <c r="B10" s="135">
        <f>'KW 42'!S10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3">
      <c r="A11" s="24" t="str">
        <f>Start!A11</f>
        <v>SB (Mietavale/StK)</v>
      </c>
      <c r="B11" s="135">
        <f>'KW 42'!S11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5">
      <c r="A12" s="29" t="str">
        <f>Start!A12</f>
        <v>neue Mietavale</v>
      </c>
      <c r="B12" s="135">
        <f>'KW 42'!S12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5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3">
      <c r="A14" s="19" t="str">
        <f>Start!A14</f>
        <v>Vorgängerinstitute</v>
      </c>
      <c r="B14" s="135">
        <f>'KW 42'!S14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" thickBot="1" x14ac:dyDescent="0.35">
      <c r="A15" s="29" t="str">
        <f>Start!A15</f>
        <v>Einfachaufträge</v>
      </c>
      <c r="B15" s="135">
        <f>'KW 42'!S15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5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" hidden="1" thickBot="1" x14ac:dyDescent="0.35">
      <c r="A17" s="41">
        <f>Start!A17</f>
        <v>0</v>
      </c>
      <c r="B17" s="135">
        <f>'KW 42'!S17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" thickBot="1" x14ac:dyDescent="0.35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" thickBot="1" x14ac:dyDescent="0.35">
      <c r="A20" s="41" t="str">
        <f>Start!A20</f>
        <v>Postbearbeitung</v>
      </c>
      <c r="B20" s="139">
        <f>'KW 42'!S20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5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3">
      <c r="A22" s="19" t="str">
        <f>Start!A22</f>
        <v>SWP Mailbox</v>
      </c>
      <c r="B22" s="134">
        <f>'KW 42'!S22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3">
      <c r="A23" s="24" t="str">
        <f>Start!A23</f>
        <v>KCB Mailbox</v>
      </c>
      <c r="B23" s="135">
        <f>'KW 42'!S23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" thickBot="1" x14ac:dyDescent="0.35">
      <c r="A24" s="29" t="str">
        <f>Start!A24</f>
        <v>SNOW</v>
      </c>
      <c r="B24" s="136">
        <f>'KW 42'!S24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5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3">
      <c r="A26" s="19" t="str">
        <f>Start!A26</f>
        <v>Antragsvorprüfung</v>
      </c>
      <c r="B26" s="134">
        <f>'KW 42'!S26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3">
      <c r="A27" s="24" t="str">
        <f>Start!A27</f>
        <v>LV TAZ</v>
      </c>
      <c r="B27" s="135">
        <f>'KW 42'!S27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" thickBot="1" x14ac:dyDescent="0.35">
      <c r="A28" s="29" t="str">
        <f>Start!A28</f>
        <v>WGV</v>
      </c>
      <c r="B28" s="136">
        <f>'KW 42'!S28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5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" thickBot="1" x14ac:dyDescent="0.35">
      <c r="A30" s="41" t="str">
        <f>Start!A30</f>
        <v>Postbearbeitung BCB</v>
      </c>
      <c r="B30" s="139">
        <f>'KW 42'!S30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" thickBot="1" x14ac:dyDescent="0.35">
      <c r="W32" s="56"/>
    </row>
    <row r="33" spans="1:23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" thickBot="1" x14ac:dyDescent="0.35">
      <c r="Q34" s="59"/>
      <c r="R34" s="59"/>
    </row>
    <row r="35" spans="1:23" ht="15.6" thickTop="1" thickBot="1" x14ac:dyDescent="0.35">
      <c r="A35" s="109" t="str">
        <f>Start!$A$35</f>
        <v>Übertrag Archiv Vorwoche</v>
      </c>
      <c r="B35" s="144">
        <f>'KW 42'!S35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3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" thickTop="1" x14ac:dyDescent="0.3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250" priority="12">
      <formula>Wochetag($C$3:$P$3,2)&gt;5</formula>
    </cfRule>
  </conditionalFormatting>
  <conditionalFormatting sqref="K25:L25 K29:L29">
    <cfRule type="expression" dxfId="249" priority="11">
      <formula>Wochetag($C$3:$P$3,2)&gt;5</formula>
    </cfRule>
  </conditionalFormatting>
  <conditionalFormatting sqref="C25:J25 C29:J29">
    <cfRule type="expression" dxfId="248" priority="10">
      <formula>Wochetag($C$3:$P$3,2)&gt;5</formula>
    </cfRule>
  </conditionalFormatting>
  <conditionalFormatting sqref="M29:P29">
    <cfRule type="expression" dxfId="247" priority="9">
      <formula>Wochetag($C$3:$P$3,2)&gt;5</formula>
    </cfRule>
  </conditionalFormatting>
  <conditionalFormatting sqref="M11:P11">
    <cfRule type="expression" dxfId="246" priority="8">
      <formula>Wochetag($C$3:$P$3,2)&gt;5</formula>
    </cfRule>
  </conditionalFormatting>
  <conditionalFormatting sqref="C9:L12">
    <cfRule type="expression" dxfId="245" priority="7">
      <formula>Wochetag($C$3:$P$3,2)&gt;5</formula>
    </cfRule>
  </conditionalFormatting>
  <conditionalFormatting sqref="C14:L15">
    <cfRule type="expression" dxfId="244" priority="6">
      <formula>Wochetag($C$3:$P$3,2)&gt;5</formula>
    </cfRule>
  </conditionalFormatting>
  <conditionalFormatting sqref="C17:L17">
    <cfRule type="expression" dxfId="243" priority="5">
      <formula>Wochetag($C$3:$P$3,2)&gt;5</formula>
    </cfRule>
  </conditionalFormatting>
  <conditionalFormatting sqref="C20:L20">
    <cfRule type="expression" dxfId="242" priority="4">
      <formula>Wochetag($C$3:$P$3,2)&gt;5</formula>
    </cfRule>
  </conditionalFormatting>
  <conditionalFormatting sqref="C22:L24">
    <cfRule type="expression" dxfId="241" priority="3">
      <formula>Wochetag($C$3:$P$3,2)&gt;5</formula>
    </cfRule>
  </conditionalFormatting>
  <conditionalFormatting sqref="C26:L28">
    <cfRule type="expression" dxfId="240" priority="2">
      <formula>Wochetag($C$3:$P$3,2)&gt;5</formula>
    </cfRule>
  </conditionalFormatting>
  <conditionalFormatting sqref="C30:L30">
    <cfRule type="expression" dxfId="239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7"/>
  <dimension ref="A1:W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3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" thickBot="1" x14ac:dyDescent="0.35">
      <c r="A2" s="6"/>
      <c r="C2" s="122">
        <f>YEAR(C3)</f>
        <v>2021</v>
      </c>
      <c r="D2" s="119" t="str">
        <f>IFERROR(VLOOKUP(C3,Start!$F$2:$G$22,2,0),"")</f>
        <v>Allerheiligen</v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" thickBot="1" x14ac:dyDescent="0.35">
      <c r="A3" s="177" t="s">
        <v>20</v>
      </c>
      <c r="B3" s="181" t="s">
        <v>21</v>
      </c>
      <c r="C3" s="91">
        <f>'KW 1'!$C$3+301</f>
        <v>44501</v>
      </c>
      <c r="D3" s="92">
        <f>C3</f>
        <v>44501</v>
      </c>
      <c r="E3" s="91">
        <f>C3+1</f>
        <v>44502</v>
      </c>
      <c r="F3" s="92">
        <f>E3</f>
        <v>44502</v>
      </c>
      <c r="G3" s="91">
        <f>C3+2</f>
        <v>44503</v>
      </c>
      <c r="H3" s="92">
        <f>G3</f>
        <v>44503</v>
      </c>
      <c r="I3" s="91">
        <f>C3+3</f>
        <v>44504</v>
      </c>
      <c r="J3" s="92">
        <f>I3</f>
        <v>44504</v>
      </c>
      <c r="K3" s="91">
        <f>C3+4</f>
        <v>44505</v>
      </c>
      <c r="L3" s="92">
        <f>K3</f>
        <v>44505</v>
      </c>
      <c r="M3" s="91">
        <f>C3+5</f>
        <v>44506</v>
      </c>
      <c r="N3" s="92">
        <f>M3</f>
        <v>44506</v>
      </c>
      <c r="O3" s="91">
        <f>C3+6</f>
        <v>44507</v>
      </c>
      <c r="P3" s="92">
        <f>O3</f>
        <v>44507</v>
      </c>
      <c r="Q3" s="14" t="s">
        <v>0</v>
      </c>
      <c r="R3" s="15" t="s">
        <v>0</v>
      </c>
      <c r="S3" s="177" t="s">
        <v>1</v>
      </c>
      <c r="T3" s="177" t="s">
        <v>2</v>
      </c>
      <c r="U3" s="179" t="s">
        <v>3</v>
      </c>
      <c r="V3" s="175"/>
      <c r="W3" s="175" t="s">
        <v>4</v>
      </c>
    </row>
    <row r="4" spans="1:23" ht="15" thickBot="1" x14ac:dyDescent="0.35">
      <c r="A4" s="178"/>
      <c r="B4" s="182"/>
      <c r="C4" s="17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80"/>
      <c r="V4" s="176"/>
      <c r="W4" s="176"/>
    </row>
    <row r="5" spans="1:23" x14ac:dyDescent="0.3">
      <c r="A5" s="19" t="str">
        <f>Start!A5</f>
        <v>Postbearbeitung Bestand</v>
      </c>
      <c r="B5" s="134">
        <f>'KW 43'!S5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3">
      <c r="A6" s="24" t="str">
        <f>Start!A6</f>
        <v>Mailbox</v>
      </c>
      <c r="B6" s="135">
        <f>'KW 43'!S6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" thickBot="1" x14ac:dyDescent="0.35">
      <c r="A7" s="29" t="str">
        <f>Start!A7</f>
        <v>Eilige</v>
      </c>
      <c r="B7" s="136">
        <f>'KW 43'!S7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5">
      <c r="A8" s="34"/>
      <c r="B8" s="137"/>
      <c r="C8" s="137"/>
      <c r="D8" s="137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3">
      <c r="A9" s="19" t="str">
        <f>Start!A9</f>
        <v>OVE Abfragen</v>
      </c>
      <c r="B9" s="135">
        <f>'KW 43'!S9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3">
      <c r="A10" s="24" t="str">
        <f>Start!A10</f>
        <v xml:space="preserve">   Buchungen</v>
      </c>
      <c r="B10" s="135">
        <f>'KW 43'!S10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3">
      <c r="A11" s="24" t="str">
        <f>Start!A11</f>
        <v>SB (Mietavale/StK)</v>
      </c>
      <c r="B11" s="135">
        <f>'KW 43'!S11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5">
      <c r="A12" s="29" t="str">
        <f>Start!A12</f>
        <v>neue Mietavale</v>
      </c>
      <c r="B12" s="135">
        <f>'KW 43'!S12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5">
      <c r="A13" s="34"/>
      <c r="B13" s="138"/>
      <c r="C13" s="138"/>
      <c r="D13" s="138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3">
      <c r="A14" s="19" t="str">
        <f>Start!A14</f>
        <v>Vorgängerinstitute</v>
      </c>
      <c r="B14" s="135">
        <f>'KW 43'!S14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" thickBot="1" x14ac:dyDescent="0.35">
      <c r="A15" s="29" t="str">
        <f>Start!A15</f>
        <v>Einfachaufträge</v>
      </c>
      <c r="B15" s="135">
        <f>'KW 43'!S15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5">
      <c r="A16" s="34"/>
      <c r="B16" s="138"/>
      <c r="C16" s="127"/>
      <c r="D16" s="127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" hidden="1" thickBot="1" x14ac:dyDescent="0.35">
      <c r="A17" s="41">
        <f>Start!A17</f>
        <v>0</v>
      </c>
      <c r="B17" s="135">
        <f>'KW 43'!S17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" thickBot="1" x14ac:dyDescent="0.35">
      <c r="A18" s="47" t="s">
        <v>13</v>
      </c>
      <c r="B18" s="138">
        <f>SUM(B5:B17)</f>
        <v>2</v>
      </c>
      <c r="C18" s="138">
        <f>SUM(C5:C17)</f>
        <v>0</v>
      </c>
      <c r="D18" s="13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" thickBot="1" x14ac:dyDescent="0.35">
      <c r="A19" s="50"/>
      <c r="B19" s="141"/>
      <c r="C19" s="128"/>
      <c r="D19" s="128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" thickBot="1" x14ac:dyDescent="0.35">
      <c r="A20" s="41" t="str">
        <f>Start!A20</f>
        <v>Postbearbeitung</v>
      </c>
      <c r="B20" s="139">
        <f>'KW 43'!S20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5">
      <c r="A21" s="34"/>
      <c r="B21" s="137"/>
      <c r="C21" s="137"/>
      <c r="D21" s="137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3">
      <c r="A22" s="19" t="str">
        <f>Start!A22</f>
        <v>SWP Mailbox</v>
      </c>
      <c r="B22" s="134">
        <f>'KW 43'!S22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3">
      <c r="A23" s="24" t="str">
        <f>Start!A23</f>
        <v>KCB Mailbox</v>
      </c>
      <c r="B23" s="135">
        <f>'KW 43'!S23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" thickBot="1" x14ac:dyDescent="0.35">
      <c r="A24" s="29" t="str">
        <f>Start!A24</f>
        <v>SNOW</v>
      </c>
      <c r="B24" s="136">
        <f>'KW 43'!S24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5">
      <c r="A25" s="34"/>
      <c r="B25" s="137"/>
      <c r="C25" s="137"/>
      <c r="D25" s="137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3">
      <c r="A26" s="19" t="str">
        <f>Start!A26</f>
        <v>Antragsvorprüfung</v>
      </c>
      <c r="B26" s="134">
        <f>'KW 43'!S26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3">
      <c r="A27" s="24" t="str">
        <f>Start!A27</f>
        <v>LV TAZ</v>
      </c>
      <c r="B27" s="135">
        <f>'KW 43'!S27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" thickBot="1" x14ac:dyDescent="0.35">
      <c r="A28" s="29" t="str">
        <f>Start!A28</f>
        <v>WGV</v>
      </c>
      <c r="B28" s="136">
        <f>'KW 43'!S28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5">
      <c r="A29" s="53"/>
      <c r="B29" s="143"/>
      <c r="C29" s="143"/>
      <c r="D29" s="14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" thickBot="1" x14ac:dyDescent="0.35">
      <c r="A30" s="41" t="str">
        <f>Start!A30</f>
        <v>Postbearbeitung BCB</v>
      </c>
      <c r="B30" s="139">
        <f>'KW 43'!S30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" thickBot="1" x14ac:dyDescent="0.35">
      <c r="C32" s="129"/>
      <c r="D32" s="129"/>
      <c r="W32" s="56"/>
    </row>
    <row r="33" spans="1:23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" thickBot="1" x14ac:dyDescent="0.35">
      <c r="Q34" s="59"/>
      <c r="R34" s="59"/>
    </row>
    <row r="35" spans="1:23" ht="15.6" thickTop="1" thickBot="1" x14ac:dyDescent="0.35">
      <c r="A35" s="109" t="str">
        <f>Start!$A$35</f>
        <v>Übertrag Archiv Vorwoche</v>
      </c>
      <c r="B35" s="144">
        <f>'KW 43'!S35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3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" thickTop="1" x14ac:dyDescent="0.3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238" priority="12">
      <formula>Wochetag($C$3:$P$3,2)&gt;5</formula>
    </cfRule>
  </conditionalFormatting>
  <conditionalFormatting sqref="K25:L25 K29:L29">
    <cfRule type="expression" dxfId="237" priority="11">
      <formula>Wochetag($C$3:$P$3,2)&gt;5</formula>
    </cfRule>
  </conditionalFormatting>
  <conditionalFormatting sqref="E25:J25 E29:J29">
    <cfRule type="expression" dxfId="236" priority="10">
      <formula>Wochetag($C$3:$P$3,2)&gt;5</formula>
    </cfRule>
  </conditionalFormatting>
  <conditionalFormatting sqref="M29:P29">
    <cfRule type="expression" dxfId="235" priority="9">
      <formula>Wochetag($C$3:$P$3,2)&gt;5</formula>
    </cfRule>
  </conditionalFormatting>
  <conditionalFormatting sqref="M11:P11">
    <cfRule type="expression" dxfId="234" priority="8">
      <formula>Wochetag($C$3:$P$3,2)&gt;5</formula>
    </cfRule>
  </conditionalFormatting>
  <conditionalFormatting sqref="C9:L12">
    <cfRule type="expression" dxfId="233" priority="7">
      <formula>Wochetag($C$3:$P$3,2)&gt;5</formula>
    </cfRule>
  </conditionalFormatting>
  <conditionalFormatting sqref="C14:L15">
    <cfRule type="expression" dxfId="232" priority="6">
      <formula>Wochetag($C$3:$P$3,2)&gt;5</formula>
    </cfRule>
  </conditionalFormatting>
  <conditionalFormatting sqref="C17:L17">
    <cfRule type="expression" dxfId="231" priority="5">
      <formula>Wochetag($C$3:$P$3,2)&gt;5</formula>
    </cfRule>
  </conditionalFormatting>
  <conditionalFormatting sqref="C20:L20">
    <cfRule type="expression" dxfId="230" priority="4">
      <formula>Wochetag($C$3:$P$3,2)&gt;5</formula>
    </cfRule>
  </conditionalFormatting>
  <conditionalFormatting sqref="C22:L24">
    <cfRule type="expression" dxfId="229" priority="3">
      <formula>Wochetag($C$3:$P$3,2)&gt;5</formula>
    </cfRule>
  </conditionalFormatting>
  <conditionalFormatting sqref="C26:L28">
    <cfRule type="expression" dxfId="228" priority="2">
      <formula>Wochetag($C$3:$P$3,2)&gt;5</formula>
    </cfRule>
  </conditionalFormatting>
  <conditionalFormatting sqref="C30:L30">
    <cfRule type="expression" dxfId="227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8"/>
  <dimension ref="A1:W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3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" thickBot="1" x14ac:dyDescent="0.35">
      <c r="A3" s="177" t="s">
        <v>20</v>
      </c>
      <c r="B3" s="181" t="s">
        <v>21</v>
      </c>
      <c r="C3" s="91">
        <f>'KW 1'!$C$3+308</f>
        <v>44508</v>
      </c>
      <c r="D3" s="92">
        <f>C3</f>
        <v>44508</v>
      </c>
      <c r="E3" s="91">
        <f>C3+1</f>
        <v>44509</v>
      </c>
      <c r="F3" s="92">
        <f>E3</f>
        <v>44509</v>
      </c>
      <c r="G3" s="91">
        <f>C3+2</f>
        <v>44510</v>
      </c>
      <c r="H3" s="92">
        <f>G3</f>
        <v>44510</v>
      </c>
      <c r="I3" s="91">
        <f>C3+3</f>
        <v>44511</v>
      </c>
      <c r="J3" s="92">
        <f>I3</f>
        <v>44511</v>
      </c>
      <c r="K3" s="91">
        <f>C3+4</f>
        <v>44512</v>
      </c>
      <c r="L3" s="92">
        <f>K3</f>
        <v>44512</v>
      </c>
      <c r="M3" s="91">
        <f>C3+5</f>
        <v>44513</v>
      </c>
      <c r="N3" s="92">
        <f>M3</f>
        <v>44513</v>
      </c>
      <c r="O3" s="91">
        <f>C3+6</f>
        <v>44514</v>
      </c>
      <c r="P3" s="92">
        <f>O3</f>
        <v>44514</v>
      </c>
      <c r="Q3" s="14" t="s">
        <v>0</v>
      </c>
      <c r="R3" s="15" t="s">
        <v>0</v>
      </c>
      <c r="S3" s="177" t="s">
        <v>1</v>
      </c>
      <c r="T3" s="177" t="s">
        <v>2</v>
      </c>
      <c r="U3" s="179" t="s">
        <v>3</v>
      </c>
      <c r="V3" s="175"/>
      <c r="W3" s="175" t="s">
        <v>4</v>
      </c>
    </row>
    <row r="4" spans="1:23" ht="15" thickBot="1" x14ac:dyDescent="0.35">
      <c r="A4" s="178"/>
      <c r="B4" s="182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80"/>
      <c r="V4" s="176"/>
      <c r="W4" s="176"/>
    </row>
    <row r="5" spans="1:23" x14ac:dyDescent="0.3">
      <c r="A5" s="19" t="str">
        <f>Start!A5</f>
        <v>Postbearbeitung Bestand</v>
      </c>
      <c r="B5" s="134">
        <f>'KW 44'!S5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3">
      <c r="A6" s="24" t="str">
        <f>Start!A6</f>
        <v>Mailbox</v>
      </c>
      <c r="B6" s="135">
        <f>'KW 44'!S6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" thickBot="1" x14ac:dyDescent="0.35">
      <c r="A7" s="29" t="str">
        <f>Start!A7</f>
        <v>Eilige</v>
      </c>
      <c r="B7" s="136">
        <f>'KW 44'!S7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5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3">
      <c r="A9" s="19" t="str">
        <f>Start!A9</f>
        <v>OVE Abfragen</v>
      </c>
      <c r="B9" s="135">
        <f>'KW 44'!S9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3">
      <c r="A10" s="24" t="str">
        <f>Start!A10</f>
        <v xml:space="preserve">   Buchungen</v>
      </c>
      <c r="B10" s="135">
        <f>'KW 44'!S10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3">
      <c r="A11" s="24" t="str">
        <f>Start!A11</f>
        <v>SB (Mietavale/StK)</v>
      </c>
      <c r="B11" s="135">
        <f>'KW 44'!S11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5">
      <c r="A12" s="29" t="str">
        <f>Start!A12</f>
        <v>neue Mietavale</v>
      </c>
      <c r="B12" s="135">
        <f>'KW 44'!S12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5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3">
      <c r="A14" s="19" t="str">
        <f>Start!A14</f>
        <v>Vorgängerinstitute</v>
      </c>
      <c r="B14" s="135">
        <f>'KW 44'!S14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4.1" customHeight="1" thickBot="1" x14ac:dyDescent="0.35">
      <c r="A15" s="29" t="str">
        <f>Start!A15</f>
        <v>Einfachaufträge</v>
      </c>
      <c r="B15" s="135">
        <f>'KW 44'!S15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5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" hidden="1" thickBot="1" x14ac:dyDescent="0.35">
      <c r="A17" s="41">
        <f>Start!A17</f>
        <v>0</v>
      </c>
      <c r="B17" s="135">
        <f>'KW 44'!S17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" thickBot="1" x14ac:dyDescent="0.35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" thickBot="1" x14ac:dyDescent="0.35">
      <c r="A20" s="41" t="str">
        <f>Start!A20</f>
        <v>Postbearbeitung</v>
      </c>
      <c r="B20" s="139">
        <f>'KW 44'!S20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5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3">
      <c r="A22" s="19" t="str">
        <f>Start!A22</f>
        <v>SWP Mailbox</v>
      </c>
      <c r="B22" s="134">
        <f>'KW 44'!S22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3">
      <c r="A23" s="24" t="str">
        <f>Start!A23</f>
        <v>KCB Mailbox</v>
      </c>
      <c r="B23" s="135">
        <f>'KW 44'!S23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" thickBot="1" x14ac:dyDescent="0.35">
      <c r="A24" s="29" t="str">
        <f>Start!A24</f>
        <v>SNOW</v>
      </c>
      <c r="B24" s="136">
        <f>'KW 44'!S24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5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3">
      <c r="A26" s="19" t="str">
        <f>Start!A26</f>
        <v>Antragsvorprüfung</v>
      </c>
      <c r="B26" s="134">
        <f>'KW 44'!S26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3">
      <c r="A27" s="24" t="str">
        <f>Start!A27</f>
        <v>LV TAZ</v>
      </c>
      <c r="B27" s="135">
        <f>'KW 44'!S27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" thickBot="1" x14ac:dyDescent="0.35">
      <c r="A28" s="29" t="str">
        <f>Start!A28</f>
        <v>WGV</v>
      </c>
      <c r="B28" s="136">
        <f>'KW 44'!S28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5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" thickBot="1" x14ac:dyDescent="0.35">
      <c r="A30" s="41" t="str">
        <f>Start!A30</f>
        <v>Postbearbeitung BCB</v>
      </c>
      <c r="B30" s="139">
        <f>'KW 44'!S30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" thickBot="1" x14ac:dyDescent="0.35">
      <c r="W32" s="56"/>
    </row>
    <row r="33" spans="1:23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" thickBot="1" x14ac:dyDescent="0.35">
      <c r="Q34" s="59"/>
      <c r="R34" s="59"/>
    </row>
    <row r="35" spans="1:23" ht="15.6" thickTop="1" thickBot="1" x14ac:dyDescent="0.35">
      <c r="A35" s="109" t="str">
        <f>Start!$A$35</f>
        <v>Übertrag Archiv Vorwoche</v>
      </c>
      <c r="B35" s="144">
        <f>'KW 44'!S35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3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" thickTop="1" x14ac:dyDescent="0.3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226" priority="12">
      <formula>Wochetag($C$3:$P$3,2)&gt;5</formula>
    </cfRule>
  </conditionalFormatting>
  <conditionalFormatting sqref="K25:L25 K29:L29">
    <cfRule type="expression" dxfId="225" priority="11">
      <formula>Wochetag($C$3:$P$3,2)&gt;5</formula>
    </cfRule>
  </conditionalFormatting>
  <conditionalFormatting sqref="C25:J25 C29:J29">
    <cfRule type="expression" dxfId="224" priority="10">
      <formula>Wochetag($C$3:$P$3,2)&gt;5</formula>
    </cfRule>
  </conditionalFormatting>
  <conditionalFormatting sqref="M29:P29">
    <cfRule type="expression" dxfId="223" priority="9">
      <formula>Wochetag($C$3:$P$3,2)&gt;5</formula>
    </cfRule>
  </conditionalFormatting>
  <conditionalFormatting sqref="M11:P11">
    <cfRule type="expression" dxfId="222" priority="8">
      <formula>Wochetag($C$3:$P$3,2)&gt;5</formula>
    </cfRule>
  </conditionalFormatting>
  <conditionalFormatting sqref="C9:L12">
    <cfRule type="expression" dxfId="221" priority="7">
      <formula>Wochetag($C$3:$P$3,2)&gt;5</formula>
    </cfRule>
  </conditionalFormatting>
  <conditionalFormatting sqref="C14:L15">
    <cfRule type="expression" dxfId="220" priority="6">
      <formula>Wochetag($C$3:$P$3,2)&gt;5</formula>
    </cfRule>
  </conditionalFormatting>
  <conditionalFormatting sqref="C17:L17">
    <cfRule type="expression" dxfId="219" priority="5">
      <formula>Wochetag($C$3:$P$3,2)&gt;5</formula>
    </cfRule>
  </conditionalFormatting>
  <conditionalFormatting sqref="C20:L20">
    <cfRule type="expression" dxfId="218" priority="4">
      <formula>Wochetag($C$3:$P$3,2)&gt;5</formula>
    </cfRule>
  </conditionalFormatting>
  <conditionalFormatting sqref="C22:L24">
    <cfRule type="expression" dxfId="217" priority="3">
      <formula>Wochetag($C$3:$P$3,2)&gt;5</formula>
    </cfRule>
  </conditionalFormatting>
  <conditionalFormatting sqref="C26:L28">
    <cfRule type="expression" dxfId="216" priority="2">
      <formula>Wochetag($C$3:$P$3,2)&gt;5</formula>
    </cfRule>
  </conditionalFormatting>
  <conditionalFormatting sqref="C30:L30">
    <cfRule type="expression" dxfId="215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9"/>
  <dimension ref="A1:W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3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" thickBot="1" x14ac:dyDescent="0.35">
      <c r="A3" s="177" t="s">
        <v>20</v>
      </c>
      <c r="B3" s="181" t="s">
        <v>21</v>
      </c>
      <c r="C3" s="91">
        <f>'KW 1'!$C$3+315</f>
        <v>44515</v>
      </c>
      <c r="D3" s="92">
        <f>C3</f>
        <v>44515</v>
      </c>
      <c r="E3" s="91">
        <f>C3+1</f>
        <v>44516</v>
      </c>
      <c r="F3" s="92">
        <f>E3</f>
        <v>44516</v>
      </c>
      <c r="G3" s="91">
        <f>C3+2</f>
        <v>44517</v>
      </c>
      <c r="H3" s="92">
        <f>G3</f>
        <v>44517</v>
      </c>
      <c r="I3" s="91">
        <f>C3+3</f>
        <v>44518</v>
      </c>
      <c r="J3" s="92">
        <f>I3</f>
        <v>44518</v>
      </c>
      <c r="K3" s="91">
        <f>C3+4</f>
        <v>44519</v>
      </c>
      <c r="L3" s="92">
        <f>K3</f>
        <v>44519</v>
      </c>
      <c r="M3" s="91">
        <f>C3+5</f>
        <v>44520</v>
      </c>
      <c r="N3" s="92">
        <f>M3</f>
        <v>44520</v>
      </c>
      <c r="O3" s="91">
        <f>C3+6</f>
        <v>44521</v>
      </c>
      <c r="P3" s="92">
        <f>O3</f>
        <v>44521</v>
      </c>
      <c r="Q3" s="14" t="s">
        <v>0</v>
      </c>
      <c r="R3" s="15" t="s">
        <v>0</v>
      </c>
      <c r="S3" s="177" t="s">
        <v>1</v>
      </c>
      <c r="T3" s="177" t="s">
        <v>2</v>
      </c>
      <c r="U3" s="179" t="s">
        <v>3</v>
      </c>
      <c r="V3" s="175"/>
      <c r="W3" s="175" t="s">
        <v>4</v>
      </c>
    </row>
    <row r="4" spans="1:23" ht="15" thickBot="1" x14ac:dyDescent="0.35">
      <c r="A4" s="178"/>
      <c r="B4" s="182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80"/>
      <c r="V4" s="176"/>
      <c r="W4" s="176"/>
    </row>
    <row r="5" spans="1:23" x14ac:dyDescent="0.3">
      <c r="A5" s="19" t="str">
        <f>Start!A5</f>
        <v>Postbearbeitung Bestand</v>
      </c>
      <c r="B5" s="134">
        <f>'KW 45'!S5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3">
      <c r="A6" s="24" t="str">
        <f>Start!A6</f>
        <v>Mailbox</v>
      </c>
      <c r="B6" s="135">
        <f>'KW 45'!S6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" thickBot="1" x14ac:dyDescent="0.35">
      <c r="A7" s="29" t="str">
        <f>Start!A7</f>
        <v>Eilige</v>
      </c>
      <c r="B7" s="136">
        <f>'KW 45'!S7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5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3">
      <c r="A9" s="19" t="str">
        <f>Start!A9</f>
        <v>OVE Abfragen</v>
      </c>
      <c r="B9" s="134">
        <f>'KW 45'!S9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3">
      <c r="A10" s="24" t="str">
        <f>Start!A10</f>
        <v xml:space="preserve">   Buchungen</v>
      </c>
      <c r="B10" s="135">
        <f>'KW 45'!S10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3">
      <c r="A11" s="24" t="str">
        <f>Start!A11</f>
        <v>SB (Mietavale/StK)</v>
      </c>
      <c r="B11" s="135">
        <f>'KW 45'!S11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5">
      <c r="A12" s="29" t="str">
        <f>Start!A12</f>
        <v>neue Mietavale</v>
      </c>
      <c r="B12" s="136">
        <f>'KW 45'!S12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5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3">
      <c r="A14" s="19" t="str">
        <f>Start!A14</f>
        <v>Vorgängerinstitute</v>
      </c>
      <c r="B14" s="134">
        <f>'KW 45'!S14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4.1" customHeight="1" thickBot="1" x14ac:dyDescent="0.35">
      <c r="A15" s="29" t="str">
        <f>Start!A15</f>
        <v>Einfachaufträge</v>
      </c>
      <c r="B15" s="136">
        <f>'KW 45'!S15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5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" hidden="1" thickBot="1" x14ac:dyDescent="0.35">
      <c r="A17" s="41">
        <f>Start!A17</f>
        <v>0</v>
      </c>
      <c r="B17" s="136">
        <f>'KW 45'!S17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" thickBot="1" x14ac:dyDescent="0.35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" thickBot="1" x14ac:dyDescent="0.35">
      <c r="A20" s="41" t="str">
        <f>Start!A20</f>
        <v>Postbearbeitung</v>
      </c>
      <c r="B20" s="139">
        <f>'KW 45'!S20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5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3">
      <c r="A22" s="19" t="str">
        <f>Start!A22</f>
        <v>SWP Mailbox</v>
      </c>
      <c r="B22" s="134">
        <f>'KW 45'!S22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3">
      <c r="A23" s="24" t="str">
        <f>Start!A23</f>
        <v>KCB Mailbox</v>
      </c>
      <c r="B23" s="135">
        <f>'KW 45'!S23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" thickBot="1" x14ac:dyDescent="0.35">
      <c r="A24" s="29" t="str">
        <f>Start!A24</f>
        <v>SNOW</v>
      </c>
      <c r="B24" s="136">
        <f>'KW 45'!S24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5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3">
      <c r="A26" s="19" t="str">
        <f>Start!A26</f>
        <v>Antragsvorprüfung</v>
      </c>
      <c r="B26" s="134">
        <f>'KW 45'!S26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3">
      <c r="A27" s="24" t="str">
        <f>Start!A27</f>
        <v>LV TAZ</v>
      </c>
      <c r="B27" s="135">
        <f>'KW 45'!S27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" thickBot="1" x14ac:dyDescent="0.35">
      <c r="A28" s="29" t="str">
        <f>Start!A28</f>
        <v>WGV</v>
      </c>
      <c r="B28" s="136">
        <f>'KW 45'!S28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5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" thickBot="1" x14ac:dyDescent="0.35">
      <c r="A30" s="41" t="str">
        <f>Start!A30</f>
        <v>Postbearbeitung BCB</v>
      </c>
      <c r="B30" s="139">
        <f>'KW 45'!S30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" thickBot="1" x14ac:dyDescent="0.35">
      <c r="W32" s="56"/>
    </row>
    <row r="33" spans="1:23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" thickBot="1" x14ac:dyDescent="0.35">
      <c r="Q34" s="59"/>
      <c r="R34" s="59"/>
    </row>
    <row r="35" spans="1:23" ht="15.6" thickTop="1" thickBot="1" x14ac:dyDescent="0.35">
      <c r="A35" s="109" t="str">
        <f>Start!$A$35</f>
        <v>Übertrag Archiv Vorwoche</v>
      </c>
      <c r="B35" s="144">
        <f>'KW 45'!S35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3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" thickTop="1" x14ac:dyDescent="0.3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214" priority="12">
      <formula>Wochetag($C$3:$P$3,2)&gt;5</formula>
    </cfRule>
  </conditionalFormatting>
  <conditionalFormatting sqref="K25:L25 K29:L29">
    <cfRule type="expression" dxfId="213" priority="11">
      <formula>Wochetag($C$3:$P$3,2)&gt;5</formula>
    </cfRule>
  </conditionalFormatting>
  <conditionalFormatting sqref="C25:J25 C29:J29">
    <cfRule type="expression" dxfId="212" priority="10">
      <formula>Wochetag($C$3:$P$3,2)&gt;5</formula>
    </cfRule>
  </conditionalFormatting>
  <conditionalFormatting sqref="M29:P29">
    <cfRule type="expression" dxfId="211" priority="9">
      <formula>Wochetag($C$3:$P$3,2)&gt;5</formula>
    </cfRule>
  </conditionalFormatting>
  <conditionalFormatting sqref="M11:P11">
    <cfRule type="expression" dxfId="210" priority="8">
      <formula>Wochetag($C$3:$P$3,2)&gt;5</formula>
    </cfRule>
  </conditionalFormatting>
  <conditionalFormatting sqref="C9:L12">
    <cfRule type="expression" dxfId="209" priority="7">
      <formula>Wochetag($C$3:$P$3,2)&gt;5</formula>
    </cfRule>
  </conditionalFormatting>
  <conditionalFormatting sqref="C14:L15">
    <cfRule type="expression" dxfId="208" priority="6">
      <formula>Wochetag($C$3:$P$3,2)&gt;5</formula>
    </cfRule>
  </conditionalFormatting>
  <conditionalFormatting sqref="C17:L17">
    <cfRule type="expression" dxfId="207" priority="5">
      <formula>Wochetag($C$3:$P$3,2)&gt;5</formula>
    </cfRule>
  </conditionalFormatting>
  <conditionalFormatting sqref="C20:L20">
    <cfRule type="expression" dxfId="206" priority="4">
      <formula>Wochetag($C$3:$P$3,2)&gt;5</formula>
    </cfRule>
  </conditionalFormatting>
  <conditionalFormatting sqref="C22:L24">
    <cfRule type="expression" dxfId="205" priority="3">
      <formula>Wochetag($C$3:$P$3,2)&gt;5</formula>
    </cfRule>
  </conditionalFormatting>
  <conditionalFormatting sqref="C26:L28">
    <cfRule type="expression" dxfId="204" priority="2">
      <formula>Wochetag($C$3:$P$3,2)&gt;5</formula>
    </cfRule>
  </conditionalFormatting>
  <conditionalFormatting sqref="C30:L30">
    <cfRule type="expression" dxfId="203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U37"/>
  <sheetViews>
    <sheetView zoomScaleNormal="100" workbookViewId="0">
      <selection activeCell="P35" sqref="P35:P36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2" customWidth="1"/>
    <col min="3" max="16" width="10.77734375" style="2" customWidth="1"/>
    <col min="17" max="18" width="9.88671875" style="2" customWidth="1"/>
    <col min="19" max="16384" width="10.5546875" style="2"/>
  </cols>
  <sheetData>
    <row r="1" spans="1:21" x14ac:dyDescent="0.3">
      <c r="A1" s="6"/>
      <c r="B1" s="12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B2" s="13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77" t="s">
        <v>20</v>
      </c>
      <c r="B3" s="177" t="s">
        <v>21</v>
      </c>
      <c r="C3" s="91">
        <f>'KW 1'!$C$3+7</f>
        <v>44207</v>
      </c>
      <c r="D3" s="92">
        <f>C3</f>
        <v>44207</v>
      </c>
      <c r="E3" s="91">
        <f>C3+1</f>
        <v>44208</v>
      </c>
      <c r="F3" s="92">
        <f>E3</f>
        <v>44208</v>
      </c>
      <c r="G3" s="91">
        <f>C3+2</f>
        <v>44209</v>
      </c>
      <c r="H3" s="92">
        <f>G3</f>
        <v>44209</v>
      </c>
      <c r="I3" s="91">
        <f>C3+3</f>
        <v>44210</v>
      </c>
      <c r="J3" s="92">
        <f>I3</f>
        <v>44210</v>
      </c>
      <c r="K3" s="91">
        <f>C3+4</f>
        <v>44211</v>
      </c>
      <c r="L3" s="92">
        <f>K3</f>
        <v>44211</v>
      </c>
      <c r="M3" s="91">
        <f>C3+5</f>
        <v>44212</v>
      </c>
      <c r="N3" s="92">
        <f>M3</f>
        <v>44212</v>
      </c>
      <c r="O3" s="91">
        <f>C3+6</f>
        <v>44213</v>
      </c>
      <c r="P3" s="92">
        <f>O3</f>
        <v>44213</v>
      </c>
      <c r="Q3" s="14" t="s">
        <v>0</v>
      </c>
      <c r="R3" s="15" t="s">
        <v>0</v>
      </c>
      <c r="S3" s="177" t="s">
        <v>1</v>
      </c>
      <c r="T3" s="177" t="s">
        <v>2</v>
      </c>
      <c r="U3" s="175" t="s">
        <v>4</v>
      </c>
    </row>
    <row r="4" spans="1:21" ht="15" thickBot="1" x14ac:dyDescent="0.35">
      <c r="A4" s="178"/>
      <c r="B4" s="178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76"/>
    </row>
    <row r="5" spans="1:21" x14ac:dyDescent="0.3">
      <c r="A5" s="19" t="str">
        <f>Start!A5</f>
        <v>Postbearbeitung Bestand</v>
      </c>
      <c r="B5" s="134">
        <f>'KW 1'!S5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5">
        <f>'KW 1'!S6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6">
        <f>'KW 1'!S7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5">
        <f>'KW 1'!S9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5">
        <f>'KW 1'!S10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5">
        <f>'KW 1'!S11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5">
        <f>'KW 1'!S12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5">
        <f>'KW 1'!S14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" thickBot="1" x14ac:dyDescent="0.35">
      <c r="A15" s="29" t="str">
        <f>Start!A15</f>
        <v>Einfachaufträge</v>
      </c>
      <c r="B15" s="135">
        <f>'KW 1'!S15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6.75" hidden="1" customHeight="1" thickBot="1" x14ac:dyDescent="0.35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5">
        <f>'KW 1'!S17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39">
        <f>'KW 1'!S20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4">
        <f>'KW 1'!S22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5">
        <f>'KW 1'!S23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6">
        <f>'KW 1'!S24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4">
        <f>'KW 1'!S26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5">
        <f>'KW 1'!S27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6">
        <f>'KW 1'!S28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39">
        <f>'KW 1'!S30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B32" s="59"/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B34" s="59"/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4">
        <f>'KW 1'!S35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sheetProtection selectLockedCells="1"/>
  <mergeCells count="5">
    <mergeCell ref="U3:U4"/>
    <mergeCell ref="S3:S4"/>
    <mergeCell ref="T3:T4"/>
    <mergeCell ref="A3:A4"/>
    <mergeCell ref="B3:B4"/>
  </mergeCells>
  <conditionalFormatting sqref="C5:P7 M9:P10">
    <cfRule type="expression" dxfId="740" priority="12">
      <formula>Wochetag($C$3:$P$3,2)&gt;5</formula>
    </cfRule>
  </conditionalFormatting>
  <conditionalFormatting sqref="K25:L25 K29:L29">
    <cfRule type="expression" dxfId="739" priority="11">
      <formula>Wochetag($C$3:$P$3,2)&gt;5</formula>
    </cfRule>
  </conditionalFormatting>
  <conditionalFormatting sqref="C25:J25 C29:J29">
    <cfRule type="expression" dxfId="738" priority="10">
      <formula>Wochetag($C$3:$P$3,2)&gt;5</formula>
    </cfRule>
  </conditionalFormatting>
  <conditionalFormatting sqref="M29:P29">
    <cfRule type="expression" dxfId="737" priority="9">
      <formula>Wochetag($C$3:$P$3,2)&gt;5</formula>
    </cfRule>
  </conditionalFormatting>
  <conditionalFormatting sqref="M11:P11">
    <cfRule type="expression" dxfId="736" priority="8">
      <formula>Wochetag($C$3:$P$3,2)&gt;5</formula>
    </cfRule>
  </conditionalFormatting>
  <conditionalFormatting sqref="C9:L12">
    <cfRule type="expression" dxfId="735" priority="7">
      <formula>Wochetag($C$3:$P$3,2)&gt;5</formula>
    </cfRule>
  </conditionalFormatting>
  <conditionalFormatting sqref="C14:L15">
    <cfRule type="expression" dxfId="734" priority="6">
      <formula>Wochetag($C$3:$P$3,2)&gt;5</formula>
    </cfRule>
  </conditionalFormatting>
  <conditionalFormatting sqref="C17:L17">
    <cfRule type="expression" dxfId="733" priority="5">
      <formula>Wochetag($C$3:$P$3,2)&gt;5</formula>
    </cfRule>
  </conditionalFormatting>
  <conditionalFormatting sqref="C20:L20">
    <cfRule type="expression" dxfId="732" priority="4">
      <formula>Wochetag($C$3:$P$3,2)&gt;5</formula>
    </cfRule>
  </conditionalFormatting>
  <conditionalFormatting sqref="C22:L24">
    <cfRule type="expression" dxfId="731" priority="3">
      <formula>Wochetag($C$3:$P$3,2)&gt;5</formula>
    </cfRule>
  </conditionalFormatting>
  <conditionalFormatting sqref="C26:L28">
    <cfRule type="expression" dxfId="730" priority="2">
      <formula>Wochetag($C$3:$P$3,2)&gt;5</formula>
    </cfRule>
  </conditionalFormatting>
  <conditionalFormatting sqref="C30:L30">
    <cfRule type="expression" dxfId="729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0"/>
  <dimension ref="A1:W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3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" thickBot="1" x14ac:dyDescent="0.35">
      <c r="A3" s="177" t="s">
        <v>20</v>
      </c>
      <c r="B3" s="181" t="s">
        <v>21</v>
      </c>
      <c r="C3" s="91">
        <f>'KW 1'!$C$3+322</f>
        <v>44522</v>
      </c>
      <c r="D3" s="92">
        <f>C3</f>
        <v>44522</v>
      </c>
      <c r="E3" s="91">
        <f>C3+1</f>
        <v>44523</v>
      </c>
      <c r="F3" s="92">
        <f>E3</f>
        <v>44523</v>
      </c>
      <c r="G3" s="91">
        <f>C3+2</f>
        <v>44524</v>
      </c>
      <c r="H3" s="92">
        <f>G3</f>
        <v>44524</v>
      </c>
      <c r="I3" s="91">
        <f>C3+3</f>
        <v>44525</v>
      </c>
      <c r="J3" s="92">
        <f>I3</f>
        <v>44525</v>
      </c>
      <c r="K3" s="91">
        <f>C3+4</f>
        <v>44526</v>
      </c>
      <c r="L3" s="92">
        <f>K3</f>
        <v>44526</v>
      </c>
      <c r="M3" s="91">
        <f>C3+5</f>
        <v>44527</v>
      </c>
      <c r="N3" s="92">
        <f>M3</f>
        <v>44527</v>
      </c>
      <c r="O3" s="91">
        <f>C3+6</f>
        <v>44528</v>
      </c>
      <c r="P3" s="92">
        <f>O3</f>
        <v>44528</v>
      </c>
      <c r="Q3" s="14" t="s">
        <v>0</v>
      </c>
      <c r="R3" s="15" t="s">
        <v>0</v>
      </c>
      <c r="S3" s="177" t="s">
        <v>1</v>
      </c>
      <c r="T3" s="177" t="s">
        <v>2</v>
      </c>
      <c r="U3" s="179" t="s">
        <v>3</v>
      </c>
      <c r="V3" s="175"/>
      <c r="W3" s="175" t="s">
        <v>4</v>
      </c>
    </row>
    <row r="4" spans="1:23" ht="15" thickBot="1" x14ac:dyDescent="0.35">
      <c r="A4" s="178"/>
      <c r="B4" s="182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80"/>
      <c r="V4" s="176"/>
      <c r="W4" s="176"/>
    </row>
    <row r="5" spans="1:23" x14ac:dyDescent="0.3">
      <c r="A5" s="19" t="str">
        <f>Start!A5</f>
        <v>Postbearbeitung Bestand</v>
      </c>
      <c r="B5" s="134">
        <f>'KW 46'!S5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3">
      <c r="A6" s="24" t="str">
        <f>Start!A6</f>
        <v>Mailbox</v>
      </c>
      <c r="B6" s="135">
        <f>'KW 46'!S6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" thickBot="1" x14ac:dyDescent="0.35">
      <c r="A7" s="29" t="str">
        <f>Start!A7</f>
        <v>Eilige</v>
      </c>
      <c r="B7" s="136">
        <f>'KW 46'!S7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5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3">
      <c r="A9" s="19" t="str">
        <f>Start!A9</f>
        <v>OVE Abfragen</v>
      </c>
      <c r="B9" s="135">
        <f>'KW 46'!S9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3">
      <c r="A10" s="24" t="str">
        <f>Start!A10</f>
        <v xml:space="preserve">   Buchungen</v>
      </c>
      <c r="B10" s="135">
        <f>'KW 46'!S10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3">
      <c r="A11" s="24" t="str">
        <f>Start!A11</f>
        <v>SB (Mietavale/StK)</v>
      </c>
      <c r="B11" s="135">
        <f>'KW 46'!S11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5">
      <c r="A12" s="29" t="str">
        <f>Start!A12</f>
        <v>neue Mietavale</v>
      </c>
      <c r="B12" s="135">
        <f>'KW 46'!S12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5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3">
      <c r="A14" s="19" t="str">
        <f>Start!A14</f>
        <v>Vorgängerinstitute</v>
      </c>
      <c r="B14" s="135">
        <f>'KW 46'!S14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4.1" customHeight="1" thickBot="1" x14ac:dyDescent="0.35">
      <c r="A15" s="29" t="str">
        <f>Start!A15</f>
        <v>Einfachaufträge</v>
      </c>
      <c r="B15" s="135">
        <f>'KW 46'!S15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5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" hidden="1" thickBot="1" x14ac:dyDescent="0.35">
      <c r="A17" s="41">
        <f>Start!A17</f>
        <v>0</v>
      </c>
      <c r="B17" s="135">
        <f>'KW 46'!S17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" thickBot="1" x14ac:dyDescent="0.35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" thickBot="1" x14ac:dyDescent="0.35">
      <c r="A20" s="41" t="str">
        <f>Start!A20</f>
        <v>Postbearbeitung</v>
      </c>
      <c r="B20" s="139">
        <f>'KW 46'!S20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5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3">
      <c r="A22" s="19" t="str">
        <f>Start!A22</f>
        <v>SWP Mailbox</v>
      </c>
      <c r="B22" s="134">
        <f>'KW 46'!S22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3">
      <c r="A23" s="24" t="str">
        <f>Start!A23</f>
        <v>KCB Mailbox</v>
      </c>
      <c r="B23" s="135">
        <f>'KW 46'!S23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" thickBot="1" x14ac:dyDescent="0.35">
      <c r="A24" s="29" t="str">
        <f>Start!A24</f>
        <v>SNOW</v>
      </c>
      <c r="B24" s="136">
        <f>'KW 46'!S24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5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3">
      <c r="A26" s="19" t="str">
        <f>Start!A26</f>
        <v>Antragsvorprüfung</v>
      </c>
      <c r="B26" s="134">
        <f>'KW 46'!S26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3">
      <c r="A27" s="24" t="str">
        <f>Start!A27</f>
        <v>LV TAZ</v>
      </c>
      <c r="B27" s="135">
        <f>'KW 46'!S27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" thickBot="1" x14ac:dyDescent="0.35">
      <c r="A28" s="29" t="str">
        <f>Start!A28</f>
        <v>WGV</v>
      </c>
      <c r="B28" s="136">
        <f>'KW 46'!S28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5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" thickBot="1" x14ac:dyDescent="0.35">
      <c r="A30" s="41" t="str">
        <f>Start!A30</f>
        <v>Postbearbeitung BCB</v>
      </c>
      <c r="B30" s="139">
        <f>'KW 46'!S30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" thickBot="1" x14ac:dyDescent="0.35">
      <c r="W32" s="56"/>
    </row>
    <row r="33" spans="1:23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" thickBot="1" x14ac:dyDescent="0.35">
      <c r="Q34" s="59"/>
      <c r="R34" s="59"/>
    </row>
    <row r="35" spans="1:23" ht="15.6" thickTop="1" thickBot="1" x14ac:dyDescent="0.35">
      <c r="A35" s="109" t="str">
        <f>Start!$A$35</f>
        <v>Übertrag Archiv Vorwoche</v>
      </c>
      <c r="B35" s="144">
        <f>'KW 46'!S35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3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" thickTop="1" x14ac:dyDescent="0.3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202" priority="12">
      <formula>Wochetag($C$3:$P$3,2)&gt;5</formula>
    </cfRule>
  </conditionalFormatting>
  <conditionalFormatting sqref="K25:L25 K29:L29">
    <cfRule type="expression" dxfId="201" priority="11">
      <formula>Wochetag($C$3:$P$3,2)&gt;5</formula>
    </cfRule>
  </conditionalFormatting>
  <conditionalFormatting sqref="C25:J25 C29:J29">
    <cfRule type="expression" dxfId="200" priority="10">
      <formula>Wochetag($C$3:$P$3,2)&gt;5</formula>
    </cfRule>
  </conditionalFormatting>
  <conditionalFormatting sqref="M29:P29">
    <cfRule type="expression" dxfId="199" priority="9">
      <formula>Wochetag($C$3:$P$3,2)&gt;5</formula>
    </cfRule>
  </conditionalFormatting>
  <conditionalFormatting sqref="M11:P11">
    <cfRule type="expression" dxfId="198" priority="8">
      <formula>Wochetag($C$3:$P$3,2)&gt;5</formula>
    </cfRule>
  </conditionalFormatting>
  <conditionalFormatting sqref="C9:L12">
    <cfRule type="expression" dxfId="197" priority="7">
      <formula>Wochetag($C$3:$P$3,2)&gt;5</formula>
    </cfRule>
  </conditionalFormatting>
  <conditionalFormatting sqref="C14:L15">
    <cfRule type="expression" dxfId="196" priority="6">
      <formula>Wochetag($C$3:$P$3,2)&gt;5</formula>
    </cfRule>
  </conditionalFormatting>
  <conditionalFormatting sqref="C17:L17">
    <cfRule type="expression" dxfId="195" priority="5">
      <formula>Wochetag($C$3:$P$3,2)&gt;5</formula>
    </cfRule>
  </conditionalFormatting>
  <conditionalFormatting sqref="C20:L20">
    <cfRule type="expression" dxfId="194" priority="4">
      <formula>Wochetag($C$3:$P$3,2)&gt;5</formula>
    </cfRule>
  </conditionalFormatting>
  <conditionalFormatting sqref="C22:L24">
    <cfRule type="expression" dxfId="193" priority="3">
      <formula>Wochetag($C$3:$P$3,2)&gt;5</formula>
    </cfRule>
  </conditionalFormatting>
  <conditionalFormatting sqref="C26:L28">
    <cfRule type="expression" dxfId="192" priority="2">
      <formula>Wochetag($C$3:$P$3,2)&gt;5</formula>
    </cfRule>
  </conditionalFormatting>
  <conditionalFormatting sqref="C30:L30">
    <cfRule type="expression" dxfId="191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"/>
  <dimension ref="A1:W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3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" thickBot="1" x14ac:dyDescent="0.35">
      <c r="A3" s="177" t="s">
        <v>20</v>
      </c>
      <c r="B3" s="181" t="s">
        <v>21</v>
      </c>
      <c r="C3" s="91">
        <f>'KW 1'!$C$3+329</f>
        <v>44529</v>
      </c>
      <c r="D3" s="92">
        <f>C3</f>
        <v>44529</v>
      </c>
      <c r="E3" s="91">
        <f>C3+1</f>
        <v>44530</v>
      </c>
      <c r="F3" s="92">
        <f>E3</f>
        <v>44530</v>
      </c>
      <c r="G3" s="91">
        <f>C3+2</f>
        <v>44531</v>
      </c>
      <c r="H3" s="92">
        <f>G3</f>
        <v>44531</v>
      </c>
      <c r="I3" s="91">
        <f>C3+3</f>
        <v>44532</v>
      </c>
      <c r="J3" s="92">
        <f>I3</f>
        <v>44532</v>
      </c>
      <c r="K3" s="91">
        <f>C3+4</f>
        <v>44533</v>
      </c>
      <c r="L3" s="92">
        <f>K3</f>
        <v>44533</v>
      </c>
      <c r="M3" s="91">
        <f>C3+5</f>
        <v>44534</v>
      </c>
      <c r="N3" s="92">
        <f>M3</f>
        <v>44534</v>
      </c>
      <c r="O3" s="91">
        <f>C3+6</f>
        <v>44535</v>
      </c>
      <c r="P3" s="92">
        <f>O3</f>
        <v>44535</v>
      </c>
      <c r="Q3" s="14" t="s">
        <v>0</v>
      </c>
      <c r="R3" s="15" t="s">
        <v>0</v>
      </c>
      <c r="S3" s="177" t="s">
        <v>1</v>
      </c>
      <c r="T3" s="177" t="s">
        <v>2</v>
      </c>
      <c r="U3" s="179" t="s">
        <v>3</v>
      </c>
      <c r="V3" s="175"/>
      <c r="W3" s="175" t="s">
        <v>4</v>
      </c>
    </row>
    <row r="4" spans="1:23" ht="15" thickBot="1" x14ac:dyDescent="0.35">
      <c r="A4" s="178"/>
      <c r="B4" s="182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80"/>
      <c r="V4" s="176"/>
      <c r="W4" s="176"/>
    </row>
    <row r="5" spans="1:23" x14ac:dyDescent="0.3">
      <c r="A5" s="19" t="str">
        <f>Start!A5</f>
        <v>Postbearbeitung Bestand</v>
      </c>
      <c r="B5" s="134">
        <f>'KW 47'!S5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3">
      <c r="A6" s="24" t="str">
        <f>Start!A6</f>
        <v>Mailbox</v>
      </c>
      <c r="B6" s="135">
        <f>'KW 47'!S6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" thickBot="1" x14ac:dyDescent="0.35">
      <c r="A7" s="29" t="str">
        <f>Start!A7</f>
        <v>Eilige</v>
      </c>
      <c r="B7" s="136">
        <f>'KW 47'!S7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5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3">
      <c r="A9" s="19" t="str">
        <f>Start!A9</f>
        <v>OVE Abfragen</v>
      </c>
      <c r="B9" s="135">
        <f>'KW 47'!S9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3">
      <c r="A10" s="24" t="str">
        <f>Start!A10</f>
        <v xml:space="preserve">   Buchungen</v>
      </c>
      <c r="B10" s="135">
        <f>'KW 47'!S10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3">
      <c r="A11" s="24" t="str">
        <f>Start!A11</f>
        <v>SB (Mietavale/StK)</v>
      </c>
      <c r="B11" s="135">
        <f>'KW 47'!S11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5">
      <c r="A12" s="29" t="str">
        <f>Start!A12</f>
        <v>neue Mietavale</v>
      </c>
      <c r="B12" s="135">
        <f>'KW 47'!S12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5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3">
      <c r="A14" s="19" t="str">
        <f>Start!A14</f>
        <v>Vorgängerinstitute</v>
      </c>
      <c r="B14" s="135">
        <f>'KW 47'!S14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4.1" customHeight="1" thickBot="1" x14ac:dyDescent="0.35">
      <c r="A15" s="29" t="str">
        <f>Start!A15</f>
        <v>Einfachaufträge</v>
      </c>
      <c r="B15" s="135">
        <f>'KW 47'!S15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5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" hidden="1" thickBot="1" x14ac:dyDescent="0.35">
      <c r="A17" s="41">
        <f>Start!A17</f>
        <v>0</v>
      </c>
      <c r="B17" s="135">
        <f>'KW 47'!S17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" thickBot="1" x14ac:dyDescent="0.35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" thickBot="1" x14ac:dyDescent="0.35">
      <c r="A20" s="41" t="str">
        <f>Start!A20</f>
        <v>Postbearbeitung</v>
      </c>
      <c r="B20" s="139">
        <f>'KW 47'!S20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5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3">
      <c r="A22" s="19" t="str">
        <f>Start!A22</f>
        <v>SWP Mailbox</v>
      </c>
      <c r="B22" s="134">
        <f>'KW 47'!S22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3">
      <c r="A23" s="24" t="str">
        <f>Start!A23</f>
        <v>KCB Mailbox</v>
      </c>
      <c r="B23" s="135">
        <f>'KW 47'!S23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" thickBot="1" x14ac:dyDescent="0.35">
      <c r="A24" s="29" t="str">
        <f>Start!A24</f>
        <v>SNOW</v>
      </c>
      <c r="B24" s="136">
        <f>'KW 47'!S24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5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3">
      <c r="A26" s="19" t="str">
        <f>Start!A26</f>
        <v>Antragsvorprüfung</v>
      </c>
      <c r="B26" s="134">
        <f>'KW 47'!S26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3">
      <c r="A27" s="24" t="str">
        <f>Start!A27</f>
        <v>LV TAZ</v>
      </c>
      <c r="B27" s="135">
        <f>'KW 47'!S27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" thickBot="1" x14ac:dyDescent="0.35">
      <c r="A28" s="29" t="str">
        <f>Start!A28</f>
        <v>WGV</v>
      </c>
      <c r="B28" s="136">
        <f>'KW 47'!S28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5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" thickBot="1" x14ac:dyDescent="0.35">
      <c r="A30" s="41" t="str">
        <f>Start!A30</f>
        <v>Postbearbeitung BCB</v>
      </c>
      <c r="B30" s="139">
        <f>'KW 47'!S30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" thickBot="1" x14ac:dyDescent="0.35">
      <c r="W32" s="56"/>
    </row>
    <row r="33" spans="1:23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" thickBot="1" x14ac:dyDescent="0.35">
      <c r="Q34" s="59"/>
      <c r="R34" s="59"/>
    </row>
    <row r="35" spans="1:23" ht="15.6" thickTop="1" thickBot="1" x14ac:dyDescent="0.35">
      <c r="A35" s="109" t="str">
        <f>Start!$A$35</f>
        <v>Übertrag Archiv Vorwoche</v>
      </c>
      <c r="B35" s="144">
        <f>'KW 47'!S35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3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" thickTop="1" x14ac:dyDescent="0.3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190" priority="12">
      <formula>Wochetag($C$3:$P$3,2)&gt;5</formula>
    </cfRule>
  </conditionalFormatting>
  <conditionalFormatting sqref="K25:L25 K29:L29">
    <cfRule type="expression" dxfId="189" priority="11">
      <formula>Wochetag($C$3:$P$3,2)&gt;5</formula>
    </cfRule>
  </conditionalFormatting>
  <conditionalFormatting sqref="C25:J25 C29:J29">
    <cfRule type="expression" dxfId="188" priority="10">
      <formula>Wochetag($C$3:$P$3,2)&gt;5</formula>
    </cfRule>
  </conditionalFormatting>
  <conditionalFormatting sqref="M29:P29">
    <cfRule type="expression" dxfId="187" priority="9">
      <formula>Wochetag($C$3:$P$3,2)&gt;5</formula>
    </cfRule>
  </conditionalFormatting>
  <conditionalFormatting sqref="M11:P11">
    <cfRule type="expression" dxfId="186" priority="8">
      <formula>Wochetag($C$3:$P$3,2)&gt;5</formula>
    </cfRule>
  </conditionalFormatting>
  <conditionalFormatting sqref="C9:L12">
    <cfRule type="expression" dxfId="185" priority="7">
      <formula>Wochetag($C$3:$P$3,2)&gt;5</formula>
    </cfRule>
  </conditionalFormatting>
  <conditionalFormatting sqref="C14:L15">
    <cfRule type="expression" dxfId="184" priority="6">
      <formula>Wochetag($C$3:$P$3,2)&gt;5</formula>
    </cfRule>
  </conditionalFormatting>
  <conditionalFormatting sqref="C17:L17">
    <cfRule type="expression" dxfId="183" priority="5">
      <formula>Wochetag($C$3:$P$3,2)&gt;5</formula>
    </cfRule>
  </conditionalFormatting>
  <conditionalFormatting sqref="C20:L20">
    <cfRule type="expression" dxfId="182" priority="4">
      <formula>Wochetag($C$3:$P$3,2)&gt;5</formula>
    </cfRule>
  </conditionalFormatting>
  <conditionalFormatting sqref="C22:L24">
    <cfRule type="expression" dxfId="181" priority="3">
      <formula>Wochetag($C$3:$P$3,2)&gt;5</formula>
    </cfRule>
  </conditionalFormatting>
  <conditionalFormatting sqref="C26:L28">
    <cfRule type="expression" dxfId="180" priority="2">
      <formula>Wochetag($C$3:$P$3,2)&gt;5</formula>
    </cfRule>
  </conditionalFormatting>
  <conditionalFormatting sqref="C30:L30">
    <cfRule type="expression" dxfId="179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2"/>
  <dimension ref="A1:W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3" x14ac:dyDescent="0.3">
      <c r="A1" s="6"/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" thickBot="1" x14ac:dyDescent="0.35">
      <c r="A2" s="6"/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" thickBot="1" x14ac:dyDescent="0.35">
      <c r="A3" s="177" t="s">
        <v>20</v>
      </c>
      <c r="B3" s="181" t="s">
        <v>21</v>
      </c>
      <c r="E3" s="91">
        <f>'KW 50'!C3+1</f>
        <v>44544</v>
      </c>
      <c r="F3" s="92">
        <f>E3</f>
        <v>44544</v>
      </c>
      <c r="G3" s="91">
        <f>'KW 50'!C3+2</f>
        <v>44545</v>
      </c>
      <c r="H3" s="92">
        <f>G3</f>
        <v>44545</v>
      </c>
      <c r="I3" s="91">
        <f>'KW 50'!C3+3</f>
        <v>44546</v>
      </c>
      <c r="J3" s="92">
        <f>I3</f>
        <v>44546</v>
      </c>
      <c r="K3" s="91">
        <f>'KW 50'!C3+4</f>
        <v>44547</v>
      </c>
      <c r="L3" s="92">
        <f>K3</f>
        <v>44547</v>
      </c>
      <c r="M3" s="91">
        <f>'KW 50'!C3+5</f>
        <v>44548</v>
      </c>
      <c r="N3" s="92">
        <f>M3</f>
        <v>44548</v>
      </c>
      <c r="O3" s="91">
        <f>'KW 50'!C3+6</f>
        <v>44549</v>
      </c>
      <c r="P3" s="92">
        <f>O3</f>
        <v>44549</v>
      </c>
      <c r="Q3" s="14" t="s">
        <v>0</v>
      </c>
      <c r="R3" s="15" t="s">
        <v>0</v>
      </c>
      <c r="S3" s="177" t="s">
        <v>1</v>
      </c>
      <c r="T3" s="177" t="s">
        <v>2</v>
      </c>
      <c r="U3" s="179" t="s">
        <v>3</v>
      </c>
      <c r="V3" s="175"/>
      <c r="W3" s="175" t="s">
        <v>4</v>
      </c>
    </row>
    <row r="4" spans="1:23" ht="15" thickBot="1" x14ac:dyDescent="0.35">
      <c r="A4" s="178"/>
      <c r="B4" s="182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80"/>
      <c r="V4" s="176"/>
      <c r="W4" s="176"/>
    </row>
    <row r="5" spans="1:23" x14ac:dyDescent="0.3">
      <c r="A5" s="19" t="str">
        <f>Start!A5</f>
        <v>Postbearbeitung Bestand</v>
      </c>
      <c r="B5" s="134">
        <f>'KW 48'!S5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3">
      <c r="A6" s="24" t="str">
        <f>Start!A6</f>
        <v>Mailbox</v>
      </c>
      <c r="B6" s="135">
        <f>'KW 48'!S6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" thickBot="1" x14ac:dyDescent="0.35">
      <c r="A7" s="29" t="str">
        <f>Start!A7</f>
        <v>Eilige</v>
      </c>
      <c r="B7" s="136">
        <f>'KW 48'!S7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5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3">
      <c r="A9" s="19" t="str">
        <f>Start!A9</f>
        <v>OVE Abfragen</v>
      </c>
      <c r="B9" s="135">
        <f>'KW 48'!S9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3">
      <c r="A10" s="24" t="str">
        <f>Start!A10</f>
        <v xml:space="preserve">   Buchungen</v>
      </c>
      <c r="B10" s="135">
        <f>'KW 48'!S10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3">
      <c r="A11" s="24" t="str">
        <f>Start!A11</f>
        <v>SB (Mietavale/StK)</v>
      </c>
      <c r="B11" s="135">
        <f>'KW 48'!S11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5">
      <c r="A12" s="29" t="str">
        <f>Start!A12</f>
        <v>neue Mietavale</v>
      </c>
      <c r="B12" s="135">
        <f>'KW 48'!S12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5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3">
      <c r="A14" s="19" t="str">
        <f>Start!A14</f>
        <v>Vorgängerinstitute</v>
      </c>
      <c r="B14" s="135">
        <f>'KW 48'!S14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3.35" customHeight="1" thickBot="1" x14ac:dyDescent="0.35">
      <c r="A15" s="29" t="str">
        <f>Start!A15</f>
        <v>Einfachaufträge</v>
      </c>
      <c r="B15" s="135">
        <f>'KW 48'!S15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5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" hidden="1" thickBot="1" x14ac:dyDescent="0.35">
      <c r="A17" s="41">
        <f>Start!A17</f>
        <v>0</v>
      </c>
      <c r="B17" s="135">
        <f>'KW 48'!S17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" thickBot="1" x14ac:dyDescent="0.35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" thickBot="1" x14ac:dyDescent="0.35">
      <c r="A20" s="41" t="str">
        <f>Start!A20</f>
        <v>Postbearbeitung</v>
      </c>
      <c r="B20" s="139">
        <f>'KW 48'!S20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5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3">
      <c r="A22" s="19" t="str">
        <f>Start!A22</f>
        <v>SWP Mailbox</v>
      </c>
      <c r="B22" s="134">
        <f>'KW 48'!S22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3">
      <c r="A23" s="24" t="str">
        <f>Start!A23</f>
        <v>KCB Mailbox</v>
      </c>
      <c r="B23" s="135">
        <f>'KW 48'!S23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" thickBot="1" x14ac:dyDescent="0.35">
      <c r="A24" s="29" t="str">
        <f>Start!A24</f>
        <v>SNOW</v>
      </c>
      <c r="B24" s="136">
        <f>'KW 48'!S24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5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3">
      <c r="A26" s="19" t="str">
        <f>Start!A26</f>
        <v>Antragsvorprüfung</v>
      </c>
      <c r="B26" s="134">
        <f>'KW 48'!S26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3">
      <c r="A27" s="24" t="str">
        <f>Start!A27</f>
        <v>LV TAZ</v>
      </c>
      <c r="B27" s="135">
        <f>'KW 48'!S27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" thickBot="1" x14ac:dyDescent="0.35">
      <c r="A28" s="29" t="str">
        <f>Start!A28</f>
        <v>WGV</v>
      </c>
      <c r="B28" s="136">
        <f>'KW 48'!S28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5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" thickBot="1" x14ac:dyDescent="0.35">
      <c r="A30" s="41" t="str">
        <f>Start!A30</f>
        <v>Postbearbeitung BCB</v>
      </c>
      <c r="B30" s="139">
        <f>'KW 48'!S30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" thickBot="1" x14ac:dyDescent="0.35">
      <c r="W32" s="56"/>
    </row>
    <row r="33" spans="1:23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" thickBot="1" x14ac:dyDescent="0.35">
      <c r="Q34" s="59"/>
      <c r="R34" s="59"/>
    </row>
    <row r="35" spans="1:23" ht="15.6" thickTop="1" thickBot="1" x14ac:dyDescent="0.35">
      <c r="A35" s="109" t="str">
        <f>Start!$A$35</f>
        <v>Übertrag Archiv Vorwoche</v>
      </c>
      <c r="B35" s="144">
        <f>'KW 48'!S35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3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" thickTop="1" x14ac:dyDescent="0.3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C22:L28 C29:P29 M9:P11 C9:L12 C14:L15 C17:L17 C20:L20 C30:L30">
    <cfRule type="expression" dxfId="178" priority="83">
      <formula>Wochetag($E$3:$P$3,2)&gt;5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3"/>
  <dimension ref="A1:W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3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3" ht="15" thickBot="1" x14ac:dyDescent="0.35">
      <c r="A3" s="177" t="s">
        <v>20</v>
      </c>
      <c r="B3" s="181" t="s">
        <v>21</v>
      </c>
      <c r="C3" s="91">
        <f>'KW 1'!$C$3+343</f>
        <v>44543</v>
      </c>
      <c r="D3" s="92">
        <f>C3</f>
        <v>44543</v>
      </c>
      <c r="E3" s="91">
        <f>C3+1</f>
        <v>44544</v>
      </c>
      <c r="F3" s="92">
        <f>E3</f>
        <v>44544</v>
      </c>
      <c r="G3" s="91">
        <f>E3+1</f>
        <v>44545</v>
      </c>
      <c r="H3" s="92">
        <f>G3</f>
        <v>44545</v>
      </c>
      <c r="I3" s="91">
        <f>G3+1</f>
        <v>44546</v>
      </c>
      <c r="J3" s="92">
        <f>I3</f>
        <v>44546</v>
      </c>
      <c r="K3" s="91">
        <f>I3+1</f>
        <v>44547</v>
      </c>
      <c r="L3" s="92">
        <f>K3</f>
        <v>44547</v>
      </c>
      <c r="M3" s="91">
        <f>K3+1</f>
        <v>44548</v>
      </c>
      <c r="N3" s="92">
        <f>M3</f>
        <v>44548</v>
      </c>
      <c r="O3" s="91">
        <f>M3+1</f>
        <v>44549</v>
      </c>
      <c r="P3" s="92">
        <f>O3</f>
        <v>44549</v>
      </c>
      <c r="Q3" s="14" t="s">
        <v>0</v>
      </c>
      <c r="R3" s="15" t="s">
        <v>0</v>
      </c>
      <c r="S3" s="177" t="s">
        <v>1</v>
      </c>
      <c r="T3" s="177" t="s">
        <v>2</v>
      </c>
      <c r="U3" s="179" t="s">
        <v>3</v>
      </c>
      <c r="V3" s="175"/>
      <c r="W3" s="175" t="s">
        <v>4</v>
      </c>
    </row>
    <row r="4" spans="1:23" ht="15" thickBot="1" x14ac:dyDescent="0.35">
      <c r="A4" s="178"/>
      <c r="B4" s="182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80"/>
      <c r="V4" s="176"/>
      <c r="W4" s="176"/>
    </row>
    <row r="5" spans="1:23" x14ac:dyDescent="0.3">
      <c r="A5" s="19" t="str">
        <f>Start!A5</f>
        <v>Postbearbeitung Bestand</v>
      </c>
      <c r="B5" s="134">
        <f>'KW 49'!S5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3">
      <c r="A6" s="24" t="str">
        <f>Start!A6</f>
        <v>Mailbox</v>
      </c>
      <c r="B6" s="135">
        <f>'KW 49'!S6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7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" thickBot="1" x14ac:dyDescent="0.35">
      <c r="A7" s="29" t="str">
        <f>Start!A7</f>
        <v>Eilige</v>
      </c>
      <c r="B7" s="136">
        <f>'KW 49'!S7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5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3">
      <c r="A9" s="19" t="str">
        <f>Start!A9</f>
        <v>OVE Abfragen</v>
      </c>
      <c r="B9" s="135">
        <f>'KW 49'!S9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7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3">
      <c r="A10" s="24" t="str">
        <f>Start!A10</f>
        <v xml:space="preserve">   Buchungen</v>
      </c>
      <c r="B10" s="135">
        <f>'KW 49'!S10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3">
      <c r="A11" s="24" t="str">
        <f>Start!A11</f>
        <v>SB (Mietavale/StK)</v>
      </c>
      <c r="B11" s="135">
        <f>'KW 49'!S11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5">
      <c r="A12" s="29" t="str">
        <f>Start!A12</f>
        <v>neue Mietavale</v>
      </c>
      <c r="B12" s="135">
        <f>'KW 49'!S12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27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5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3">
      <c r="A14" s="19" t="str">
        <f>Start!A14</f>
        <v>Vorgängerinstitute</v>
      </c>
      <c r="B14" s="135">
        <f>'KW 49'!S14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7">
        <f t="shared" si="2"/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" thickBot="1" x14ac:dyDescent="0.35">
      <c r="A15" s="29" t="str">
        <f>Start!A15</f>
        <v>Einfachaufträge</v>
      </c>
      <c r="B15" s="135">
        <f>'KW 49'!S15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27">
        <f t="shared" si="2"/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5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" hidden="1" thickBot="1" x14ac:dyDescent="0.35">
      <c r="A17" s="41">
        <f>Start!A17</f>
        <v>0</v>
      </c>
      <c r="B17" s="135">
        <f>'KW 49'!S17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27">
        <f t="shared" si="2"/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" thickBot="1" x14ac:dyDescent="0.35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" thickBot="1" x14ac:dyDescent="0.35">
      <c r="A20" s="41" t="str">
        <f>Start!A20</f>
        <v>Postbearbeitung</v>
      </c>
      <c r="B20" s="139">
        <f>'KW 49'!S20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 t="shared" ref="S20:S30" si="11">B20+Q20-R20</f>
        <v>0</v>
      </c>
      <c r="T20" s="44">
        <f t="shared" ref="T20:T30" si="12">R20/5</f>
        <v>0</v>
      </c>
      <c r="U20" s="68"/>
      <c r="V20" s="68"/>
      <c r="W20" s="46">
        <f t="shared" si="0"/>
        <v>0</v>
      </c>
    </row>
    <row r="21" spans="1:23" ht="7.35" customHeight="1" thickBot="1" x14ac:dyDescent="0.35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3">
      <c r="A22" s="19" t="str">
        <f>Start!A22</f>
        <v>SWP Mailbox</v>
      </c>
      <c r="B22" s="134">
        <f>'KW 49'!S22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3">C22+E22+G22+I22+K22+M22+O22</f>
        <v>0</v>
      </c>
      <c r="R22" s="21">
        <f t="shared" si="13"/>
        <v>0</v>
      </c>
      <c r="S22" s="22">
        <f t="shared" si="11"/>
        <v>0</v>
      </c>
      <c r="T22" s="22">
        <f t="shared" si="12"/>
        <v>0</v>
      </c>
      <c r="U22" s="60"/>
      <c r="V22" s="60"/>
      <c r="W22" s="23">
        <f t="shared" si="0"/>
        <v>0</v>
      </c>
    </row>
    <row r="23" spans="1:23" x14ac:dyDescent="0.3">
      <c r="A23" s="24" t="str">
        <f>Start!A23</f>
        <v>KCB Mailbox</v>
      </c>
      <c r="B23" s="135">
        <f>'KW 49'!S23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3"/>
        <v>0</v>
      </c>
      <c r="R23" s="26">
        <f t="shared" si="13"/>
        <v>0</v>
      </c>
      <c r="S23" s="27">
        <f t="shared" si="11"/>
        <v>0</v>
      </c>
      <c r="T23" s="27">
        <f t="shared" si="12"/>
        <v>0</v>
      </c>
      <c r="U23" s="61"/>
      <c r="V23" s="61"/>
      <c r="W23" s="28">
        <f t="shared" si="0"/>
        <v>0</v>
      </c>
    </row>
    <row r="24" spans="1:23" ht="15" thickBot="1" x14ac:dyDescent="0.35">
      <c r="A24" s="29" t="str">
        <f>Start!A24</f>
        <v>SNOW</v>
      </c>
      <c r="B24" s="136">
        <f>'KW 49'!S24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3"/>
        <v>0</v>
      </c>
      <c r="R24" s="31">
        <f t="shared" si="13"/>
        <v>0</v>
      </c>
      <c r="S24" s="32">
        <f t="shared" si="11"/>
        <v>0</v>
      </c>
      <c r="T24" s="32">
        <f t="shared" si="12"/>
        <v>0</v>
      </c>
      <c r="U24" s="62"/>
      <c r="V24" s="62"/>
      <c r="W24" s="33">
        <f t="shared" si="0"/>
        <v>0</v>
      </c>
    </row>
    <row r="25" spans="1:23" ht="7.35" customHeight="1" thickBot="1" x14ac:dyDescent="0.35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3">
      <c r="A26" s="19" t="str">
        <f>Start!A26</f>
        <v>Antragsvorprüfung</v>
      </c>
      <c r="B26" s="134">
        <f>'KW 49'!S26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1"/>
        <v>1</v>
      </c>
      <c r="T26" s="22">
        <f t="shared" si="12"/>
        <v>0</v>
      </c>
      <c r="U26" s="60"/>
      <c r="V26" s="60"/>
      <c r="W26" s="23">
        <f t="shared" si="0"/>
        <v>0</v>
      </c>
    </row>
    <row r="27" spans="1:23" x14ac:dyDescent="0.3">
      <c r="A27" s="24" t="str">
        <f>Start!A27</f>
        <v>LV TAZ</v>
      </c>
      <c r="B27" s="135">
        <f>'KW 49'!S27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1"/>
        <v>48</v>
      </c>
      <c r="T27" s="27">
        <f t="shared" si="12"/>
        <v>0</v>
      </c>
      <c r="U27" s="61"/>
      <c r="V27" s="61"/>
      <c r="W27" s="28">
        <f t="shared" si="0"/>
        <v>0</v>
      </c>
    </row>
    <row r="28" spans="1:23" ht="15" thickBot="1" x14ac:dyDescent="0.35">
      <c r="A28" s="29" t="str">
        <f>Start!A28</f>
        <v>WGV</v>
      </c>
      <c r="B28" s="136">
        <f>'KW 49'!S28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1"/>
        <v>7</v>
      </c>
      <c r="T28" s="32">
        <f t="shared" si="12"/>
        <v>0</v>
      </c>
      <c r="U28" s="62"/>
      <c r="V28" s="62"/>
      <c r="W28" s="33">
        <f t="shared" si="0"/>
        <v>0</v>
      </c>
    </row>
    <row r="29" spans="1:23" ht="7.35" customHeight="1" thickBot="1" x14ac:dyDescent="0.35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" thickBot="1" x14ac:dyDescent="0.35">
      <c r="A30" s="41" t="str">
        <f>Start!A30</f>
        <v>Postbearbeitung BCB</v>
      </c>
      <c r="B30" s="139">
        <f>'KW 49'!S30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1"/>
        <v>0</v>
      </c>
      <c r="T30" s="44">
        <f t="shared" si="12"/>
        <v>0</v>
      </c>
      <c r="U30" s="68"/>
      <c r="V30" s="68"/>
      <c r="W30" s="46">
        <f t="shared" si="0"/>
        <v>0</v>
      </c>
    </row>
    <row r="31" spans="1:23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" thickBot="1" x14ac:dyDescent="0.35">
      <c r="W32" s="56"/>
    </row>
    <row r="33" spans="1:23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" thickBot="1" x14ac:dyDescent="0.35">
      <c r="Q34" s="59"/>
      <c r="R34" s="59"/>
    </row>
    <row r="35" spans="1:23" ht="15.6" thickTop="1" thickBot="1" x14ac:dyDescent="0.35">
      <c r="A35" s="109" t="str">
        <f>Start!$A$35</f>
        <v>Übertrag Archiv Vorwoche</v>
      </c>
      <c r="B35" s="144">
        <f>'KW 49'!S35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3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" thickTop="1" x14ac:dyDescent="0.3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177" priority="12">
      <formula>Wochetag($C$3:$P$3,2)&gt;5</formula>
    </cfRule>
  </conditionalFormatting>
  <conditionalFormatting sqref="K25:L25 K29:L29">
    <cfRule type="expression" dxfId="176" priority="11">
      <formula>Wochetag($C$3:$P$3,2)&gt;5</formula>
    </cfRule>
  </conditionalFormatting>
  <conditionalFormatting sqref="C25:J25 C29:J29">
    <cfRule type="expression" dxfId="175" priority="10">
      <formula>Wochetag($C$3:$P$3,2)&gt;5</formula>
    </cfRule>
  </conditionalFormatting>
  <conditionalFormatting sqref="M29:P29">
    <cfRule type="expression" dxfId="174" priority="9">
      <formula>Wochetag($C$3:$P$3,2)&gt;5</formula>
    </cfRule>
  </conditionalFormatting>
  <conditionalFormatting sqref="M11:P11">
    <cfRule type="expression" dxfId="173" priority="8">
      <formula>Wochetag($C$3:$P$3,2)&gt;5</formula>
    </cfRule>
  </conditionalFormatting>
  <conditionalFormatting sqref="C9:L12">
    <cfRule type="expression" dxfId="172" priority="7">
      <formula>Wochetag($C$3:$P$3,2)&gt;5</formula>
    </cfRule>
  </conditionalFormatting>
  <conditionalFormatting sqref="C14:L15">
    <cfRule type="expression" dxfId="171" priority="6">
      <formula>Wochetag($C$3:$P$3,2)&gt;5</formula>
    </cfRule>
  </conditionalFormatting>
  <conditionalFormatting sqref="C17:L17">
    <cfRule type="expression" dxfId="170" priority="5">
      <formula>Wochetag($C$3:$P$3,2)&gt;5</formula>
    </cfRule>
  </conditionalFormatting>
  <conditionalFormatting sqref="C20:L20">
    <cfRule type="expression" dxfId="169" priority="4">
      <formula>Wochetag($C$3:$P$3,2)&gt;5</formula>
    </cfRule>
  </conditionalFormatting>
  <conditionalFormatting sqref="C22:L24">
    <cfRule type="expression" dxfId="168" priority="3">
      <formula>Wochetag($C$3:$P$3,2)&gt;5</formula>
    </cfRule>
  </conditionalFormatting>
  <conditionalFormatting sqref="C26:L28">
    <cfRule type="expression" dxfId="167" priority="2">
      <formula>Wochetag($C$3:$P$3,2)&gt;5</formula>
    </cfRule>
  </conditionalFormatting>
  <conditionalFormatting sqref="C30:L30">
    <cfRule type="expression" dxfId="166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4"/>
  <dimension ref="A1:W37"/>
  <sheetViews>
    <sheetView workbookViewId="0">
      <selection activeCell="C1" sqref="C1:D3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3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3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>Heiligabend</v>
      </c>
      <c r="M2" s="122">
        <f>YEAR(M3)</f>
        <v>2021</v>
      </c>
      <c r="N2" s="119" t="str">
        <f>IFERROR(VLOOKUP(M3,Start!$F$2:$G$22,2,0),"")</f>
        <v>1. Weihnachtstag</v>
      </c>
      <c r="O2" s="122">
        <f>YEAR(O3)</f>
        <v>2021</v>
      </c>
      <c r="P2" s="119" t="str">
        <f>IFERROR(VLOOKUP(O3,Start!$F$2:$G$22,2,0),"")</f>
        <v>2. Weihnachtstag</v>
      </c>
    </row>
    <row r="3" spans="1:23" ht="15" thickBot="1" x14ac:dyDescent="0.35">
      <c r="A3" s="177" t="s">
        <v>20</v>
      </c>
      <c r="B3" s="181" t="s">
        <v>21</v>
      </c>
      <c r="C3" s="91">
        <f>'KW 1'!$C$3+350</f>
        <v>44550</v>
      </c>
      <c r="D3" s="92">
        <f>C3</f>
        <v>44550</v>
      </c>
      <c r="E3" s="91">
        <f>C3+1</f>
        <v>44551</v>
      </c>
      <c r="F3" s="92">
        <f>E3</f>
        <v>44551</v>
      </c>
      <c r="G3" s="91">
        <f>C3+2</f>
        <v>44552</v>
      </c>
      <c r="H3" s="92">
        <f>G3</f>
        <v>44552</v>
      </c>
      <c r="I3" s="91">
        <f>C3+3</f>
        <v>44553</v>
      </c>
      <c r="J3" s="92">
        <f>I3</f>
        <v>44553</v>
      </c>
      <c r="K3" s="91">
        <f>C3+4</f>
        <v>44554</v>
      </c>
      <c r="L3" s="92">
        <f>K3</f>
        <v>44554</v>
      </c>
      <c r="M3" s="91">
        <f>C3+5</f>
        <v>44555</v>
      </c>
      <c r="N3" s="92">
        <f>M3</f>
        <v>44555</v>
      </c>
      <c r="O3" s="91">
        <f>C3+6</f>
        <v>44556</v>
      </c>
      <c r="P3" s="92">
        <f>O3</f>
        <v>44556</v>
      </c>
      <c r="Q3" s="14" t="s">
        <v>0</v>
      </c>
      <c r="R3" s="15" t="s">
        <v>0</v>
      </c>
      <c r="S3" s="177" t="s">
        <v>1</v>
      </c>
      <c r="T3" s="177" t="s">
        <v>2</v>
      </c>
      <c r="U3" s="179" t="s">
        <v>3</v>
      </c>
      <c r="V3" s="175"/>
      <c r="W3" s="175" t="s">
        <v>4</v>
      </c>
    </row>
    <row r="4" spans="1:23" ht="15" thickBot="1" x14ac:dyDescent="0.35">
      <c r="A4" s="178"/>
      <c r="B4" s="182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80"/>
      <c r="V4" s="176"/>
      <c r="W4" s="176"/>
    </row>
    <row r="5" spans="1:23" x14ac:dyDescent="0.3">
      <c r="A5" s="19" t="str">
        <f>Start!A5</f>
        <v>Postbearbeitung Bestand</v>
      </c>
      <c r="B5" s="134">
        <f>'KW 50'!S5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3">
      <c r="A6" s="24" t="str">
        <f>Start!A6</f>
        <v>Mailbox</v>
      </c>
      <c r="B6" s="135">
        <f>'KW 50'!S6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" thickBot="1" x14ac:dyDescent="0.35">
      <c r="A7" s="29" t="str">
        <f>Start!A7</f>
        <v>Eilige</v>
      </c>
      <c r="B7" s="136">
        <f>'KW 50'!S7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5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3">
      <c r="A9" s="19" t="str">
        <f>Start!A9</f>
        <v>OVE Abfragen</v>
      </c>
      <c r="B9" s="135">
        <f>'KW 50'!S9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3">
      <c r="A10" s="24" t="str">
        <f>Start!A10</f>
        <v xml:space="preserve">   Buchungen</v>
      </c>
      <c r="B10" s="135">
        <f>'KW 50'!S10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3">
      <c r="A11" s="24" t="str">
        <f>Start!A11</f>
        <v>SB (Mietavale/StK)</v>
      </c>
      <c r="B11" s="135">
        <f>'KW 50'!S11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5">
      <c r="A12" s="29" t="str">
        <f>Start!A12</f>
        <v>neue Mietavale</v>
      </c>
      <c r="B12" s="135">
        <f>'KW 50'!S12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5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3">
      <c r="A14" s="19" t="str">
        <f>Start!A14</f>
        <v>Vorgängerinstitute</v>
      </c>
      <c r="B14" s="135">
        <f>'KW 50'!S14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4.1" customHeight="1" thickBot="1" x14ac:dyDescent="0.35">
      <c r="A15" s="29" t="str">
        <f>Start!A15</f>
        <v>Einfachaufträge</v>
      </c>
      <c r="B15" s="135">
        <f>'KW 50'!S15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5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127"/>
      <c r="L16" s="127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" hidden="1" thickBot="1" x14ac:dyDescent="0.35">
      <c r="A17" s="41">
        <f>Start!A17</f>
        <v>0</v>
      </c>
      <c r="B17" s="135">
        <f>'KW 50'!S17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" thickBot="1" x14ac:dyDescent="0.35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128"/>
      <c r="L19" s="128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" thickBot="1" x14ac:dyDescent="0.35">
      <c r="A20" s="41" t="str">
        <f>Start!A20</f>
        <v>Postbearbeitung</v>
      </c>
      <c r="B20" s="139">
        <f>'KW 50'!S20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5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3">
      <c r="A22" s="19" t="str">
        <f>Start!A22</f>
        <v>SWP Mailbox</v>
      </c>
      <c r="B22" s="134">
        <f>'KW 50'!S22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3">
      <c r="A23" s="24" t="str">
        <f>Start!A23</f>
        <v>KCB Mailbox</v>
      </c>
      <c r="B23" s="135">
        <f>'KW 50'!S23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" thickBot="1" x14ac:dyDescent="0.35">
      <c r="A24" s="29" t="str">
        <f>Start!A24</f>
        <v>SNOW</v>
      </c>
      <c r="B24" s="136">
        <f>'KW 50'!S24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5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3">
      <c r="A26" s="19" t="str">
        <f>Start!A26</f>
        <v>Antragsvorprüfung</v>
      </c>
      <c r="B26" s="134">
        <f>'KW 50'!S26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3">
      <c r="A27" s="24" t="str">
        <f>Start!A27</f>
        <v>LV TAZ</v>
      </c>
      <c r="B27" s="135">
        <f>'KW 50'!S27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" thickBot="1" x14ac:dyDescent="0.35">
      <c r="A28" s="29" t="str">
        <f>Start!A28</f>
        <v>WGV</v>
      </c>
      <c r="B28" s="136">
        <f>'KW 50'!S28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5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" thickBot="1" x14ac:dyDescent="0.35">
      <c r="A30" s="41" t="str">
        <f>Start!A30</f>
        <v>Postbearbeitung BCB</v>
      </c>
      <c r="B30" s="139">
        <f>'KW 50'!S30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" thickBot="1" x14ac:dyDescent="0.35">
      <c r="K32" s="129"/>
      <c r="L32" s="129"/>
      <c r="W32" s="56"/>
    </row>
    <row r="33" spans="1:23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" thickBot="1" x14ac:dyDescent="0.35">
      <c r="Q34" s="59"/>
      <c r="R34" s="59"/>
    </row>
    <row r="35" spans="1:23" ht="15.6" thickTop="1" thickBot="1" x14ac:dyDescent="0.35">
      <c r="A35" s="109" t="str">
        <f>Start!$A$35</f>
        <v>Übertrag Archiv Vorwoche</v>
      </c>
      <c r="B35" s="144">
        <f>'KW 50'!S35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3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" thickTop="1" x14ac:dyDescent="0.3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165" priority="14">
      <formula>Wochetag($C$3:$P$3,2)&gt;5</formula>
    </cfRule>
  </conditionalFormatting>
  <conditionalFormatting sqref="C25:J25 C29:J29">
    <cfRule type="expression" dxfId="164" priority="12">
      <formula>Wochetag($C$3:$P$3,2)&gt;5</formula>
    </cfRule>
  </conditionalFormatting>
  <conditionalFormatting sqref="M29:P29">
    <cfRule type="expression" dxfId="163" priority="11">
      <formula>Wochetag($C$3:$P$3,2)&gt;5</formula>
    </cfRule>
  </conditionalFormatting>
  <conditionalFormatting sqref="M11:P11">
    <cfRule type="expression" dxfId="162" priority="10">
      <formula>Wochetag($C$3:$P$3,2)&gt;5</formula>
    </cfRule>
  </conditionalFormatting>
  <conditionalFormatting sqref="C9:L12">
    <cfRule type="expression" dxfId="161" priority="9">
      <formula>Wochetag($C$3:$P$3,2)&gt;5</formula>
    </cfRule>
  </conditionalFormatting>
  <conditionalFormatting sqref="C14:L15">
    <cfRule type="expression" dxfId="160" priority="8">
      <formula>Wochetag($C$3:$P$3,2)&gt;5</formula>
    </cfRule>
  </conditionalFormatting>
  <conditionalFormatting sqref="C17:L17">
    <cfRule type="expression" dxfId="159" priority="7">
      <formula>Wochetag($C$3:$P$3,2)&gt;5</formula>
    </cfRule>
  </conditionalFormatting>
  <conditionalFormatting sqref="C20:L20">
    <cfRule type="expression" dxfId="158" priority="6">
      <formula>Wochetag($C$3:$P$3,2)&gt;5</formula>
    </cfRule>
  </conditionalFormatting>
  <conditionalFormatting sqref="C22:L24">
    <cfRule type="expression" dxfId="157" priority="5">
      <formula>Wochetag($C$3:$P$3,2)&gt;5</formula>
    </cfRule>
  </conditionalFormatting>
  <conditionalFormatting sqref="C26:L28">
    <cfRule type="expression" dxfId="156" priority="4">
      <formula>Wochetag($C$3:$P$3,2)&gt;5</formula>
    </cfRule>
  </conditionalFormatting>
  <conditionalFormatting sqref="C30:L30">
    <cfRule type="expression" dxfId="155" priority="3">
      <formula>Wochetag($C$3:$P$3,2)&gt;5</formula>
    </cfRule>
  </conditionalFormatting>
  <conditionalFormatting sqref="K25:L25">
    <cfRule type="expression" dxfId="154" priority="2">
      <formula>Wochetag($C$3:$P$3,2)&gt;5</formula>
    </cfRule>
  </conditionalFormatting>
  <conditionalFormatting sqref="K29:L29">
    <cfRule type="expression" dxfId="153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5"/>
  <dimension ref="A1:W37"/>
  <sheetViews>
    <sheetView workbookViewId="0">
      <selection activeCell="C5" sqref="C5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3" x14ac:dyDescent="0.3">
      <c r="A1" s="6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>neues Jahr</v>
      </c>
      <c r="O1" s="2" t="str">
        <f>IF(O2=Start!$B$1,"",IF(O2&lt;Start!$B$1,"altes Jahr",IF(O2&gt;Start!$B$1,"neues Jahr")))</f>
        <v>neues Jahr</v>
      </c>
    </row>
    <row r="2" spans="1:23" ht="15" thickBot="1" x14ac:dyDescent="0.35">
      <c r="A2" s="6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>Sylvester</v>
      </c>
      <c r="M2" s="122">
        <f>YEAR(M3)</f>
        <v>2022</v>
      </c>
      <c r="N2" s="119" t="str">
        <f>IFERROR(VLOOKUP(M3,Start!$F$2:$G$22,2,0),"")</f>
        <v/>
      </c>
      <c r="O2" s="122">
        <f>YEAR(O3)</f>
        <v>2022</v>
      </c>
      <c r="P2" s="119" t="str">
        <f>IFERROR(VLOOKUP(O3,Start!$F$2:$G$22,2,0),"")</f>
        <v/>
      </c>
    </row>
    <row r="3" spans="1:23" ht="15" thickBot="1" x14ac:dyDescent="0.35">
      <c r="A3" s="177" t="s">
        <v>20</v>
      </c>
      <c r="B3" s="181" t="s">
        <v>21</v>
      </c>
      <c r="C3" s="91">
        <f>'KW 1'!$C$3+357</f>
        <v>44557</v>
      </c>
      <c r="D3" s="92">
        <f>C3</f>
        <v>44557</v>
      </c>
      <c r="E3" s="91">
        <f>C3+1</f>
        <v>44558</v>
      </c>
      <c r="F3" s="92">
        <f>E3</f>
        <v>44558</v>
      </c>
      <c r="G3" s="91">
        <f>C3+2</f>
        <v>44559</v>
      </c>
      <c r="H3" s="92">
        <f>G3</f>
        <v>44559</v>
      </c>
      <c r="I3" s="91">
        <f>C3+3</f>
        <v>44560</v>
      </c>
      <c r="J3" s="92">
        <f>I3</f>
        <v>44560</v>
      </c>
      <c r="K3" s="91">
        <f>C3+4</f>
        <v>44561</v>
      </c>
      <c r="L3" s="92">
        <f>K3</f>
        <v>44561</v>
      </c>
      <c r="M3" s="91">
        <f>C3+5</f>
        <v>44562</v>
      </c>
      <c r="N3" s="92">
        <f>M3</f>
        <v>44562</v>
      </c>
      <c r="O3" s="91">
        <f>C3+6</f>
        <v>44563</v>
      </c>
      <c r="P3" s="92">
        <f>O3</f>
        <v>44563</v>
      </c>
      <c r="Q3" s="14" t="s">
        <v>0</v>
      </c>
      <c r="R3" s="15" t="s">
        <v>0</v>
      </c>
      <c r="S3" s="177" t="s">
        <v>1</v>
      </c>
      <c r="T3" s="177" t="s">
        <v>2</v>
      </c>
      <c r="U3" s="179" t="s">
        <v>3</v>
      </c>
      <c r="V3" s="175"/>
      <c r="W3" s="175" t="s">
        <v>4</v>
      </c>
    </row>
    <row r="4" spans="1:23" ht="15" thickBot="1" x14ac:dyDescent="0.35">
      <c r="A4" s="178"/>
      <c r="B4" s="182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80"/>
      <c r="V4" s="176"/>
      <c r="W4" s="176"/>
    </row>
    <row r="5" spans="1:23" x14ac:dyDescent="0.3">
      <c r="A5" s="19" t="str">
        <f>Start!A5</f>
        <v>Postbearbeitung Bestand</v>
      </c>
      <c r="B5" s="134">
        <f>'KW 51'!S5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3">
      <c r="A6" s="24" t="str">
        <f>Start!A6</f>
        <v>Mailbox</v>
      </c>
      <c r="B6" s="135">
        <f>'KW 51'!S6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" thickBot="1" x14ac:dyDescent="0.35">
      <c r="A7" s="29" t="str">
        <f>Start!A7</f>
        <v>Eilige</v>
      </c>
      <c r="B7" s="136">
        <f>'KW 51'!S7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5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3">
      <c r="A9" s="19" t="str">
        <f>Start!A9</f>
        <v>OVE Abfragen</v>
      </c>
      <c r="B9" s="135">
        <f>'KW 51'!S9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3">
      <c r="A10" s="24" t="str">
        <f>Start!A10</f>
        <v xml:space="preserve">   Buchungen</v>
      </c>
      <c r="B10" s="135">
        <f>'KW 51'!S10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3">
      <c r="A11" s="24" t="str">
        <f>Start!A11</f>
        <v>SB (Mietavale/StK)</v>
      </c>
      <c r="B11" s="135">
        <f>'KW 51'!S11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5">
      <c r="A12" s="29" t="str">
        <f>Start!A12</f>
        <v>neue Mietavale</v>
      </c>
      <c r="B12" s="135">
        <f>'KW 51'!S12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5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3">
      <c r="A14" s="19" t="str">
        <f>Start!A14</f>
        <v>Vorgängerinstitute</v>
      </c>
      <c r="B14" s="135">
        <f>'KW 51'!S14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4.1" customHeight="1" thickBot="1" x14ac:dyDescent="0.35">
      <c r="A15" s="29" t="str">
        <f>Start!A15</f>
        <v>Einfachaufträge</v>
      </c>
      <c r="B15" s="135">
        <f>'KW 51'!S15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5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127"/>
      <c r="L16" s="127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" hidden="1" thickBot="1" x14ac:dyDescent="0.35">
      <c r="A17" s="41">
        <f>Start!A17</f>
        <v>0</v>
      </c>
      <c r="B17" s="135">
        <f>'KW 51'!S17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" thickBot="1" x14ac:dyDescent="0.35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128"/>
      <c r="L19" s="128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" thickBot="1" x14ac:dyDescent="0.35">
      <c r="A20" s="41" t="str">
        <f>Start!A20</f>
        <v>Postbearbeitung</v>
      </c>
      <c r="B20" s="139">
        <f>'KW 51'!S20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5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3">
      <c r="A22" s="19" t="str">
        <f>Start!A22</f>
        <v>SWP Mailbox</v>
      </c>
      <c r="B22" s="134">
        <f>'KW 51'!S22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3">
      <c r="A23" s="24" t="str">
        <f>Start!A23</f>
        <v>KCB Mailbox</v>
      </c>
      <c r="B23" s="135">
        <f>'KW 51'!S23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" thickBot="1" x14ac:dyDescent="0.35">
      <c r="A24" s="29" t="str">
        <f>Start!A24</f>
        <v>SNOW</v>
      </c>
      <c r="B24" s="136">
        <f>'KW 51'!S24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5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3">
      <c r="A26" s="19" t="str">
        <f>Start!A26</f>
        <v>Antragsvorprüfung</v>
      </c>
      <c r="B26" s="134">
        <f>'KW 51'!S26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3">
      <c r="A27" s="24" t="str">
        <f>Start!A27</f>
        <v>LV TAZ</v>
      </c>
      <c r="B27" s="135">
        <f>'KW 51'!S27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" thickBot="1" x14ac:dyDescent="0.35">
      <c r="A28" s="29" t="str">
        <f>Start!A28</f>
        <v>WGV</v>
      </c>
      <c r="B28" s="136">
        <f>'KW 51'!S28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5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" thickBot="1" x14ac:dyDescent="0.35">
      <c r="A30" s="41" t="str">
        <f>Start!A30</f>
        <v>Postbearbeitung BCB</v>
      </c>
      <c r="B30" s="139">
        <f>'KW 51'!S30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" thickBot="1" x14ac:dyDescent="0.35">
      <c r="K32" s="129"/>
      <c r="L32" s="129"/>
      <c r="W32" s="56"/>
    </row>
    <row r="33" spans="1:23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" thickBot="1" x14ac:dyDescent="0.35">
      <c r="Q34" s="59"/>
      <c r="R34" s="59"/>
    </row>
    <row r="35" spans="1:23" ht="15.6" thickTop="1" thickBot="1" x14ac:dyDescent="0.35">
      <c r="A35" s="109" t="str">
        <f>Start!$A$35</f>
        <v>Übertrag Archiv Vorwoche</v>
      </c>
      <c r="B35" s="144">
        <f>'KW 51'!S35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3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" thickTop="1" x14ac:dyDescent="0.3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152" priority="14">
      <formula>Wochetag($C$3:$P$3,2)&gt;5</formula>
    </cfRule>
  </conditionalFormatting>
  <conditionalFormatting sqref="C25:J25 C29:J29">
    <cfRule type="expression" dxfId="151" priority="12">
      <formula>Wochetag($C$3:$P$3,2)&gt;5</formula>
    </cfRule>
  </conditionalFormatting>
  <conditionalFormatting sqref="M29:P29">
    <cfRule type="expression" dxfId="150" priority="11">
      <formula>Wochetag($C$3:$P$3,2)&gt;5</formula>
    </cfRule>
  </conditionalFormatting>
  <conditionalFormatting sqref="M11:P11">
    <cfRule type="expression" dxfId="149" priority="10">
      <formula>Wochetag($C$3:$P$3,2)&gt;5</formula>
    </cfRule>
  </conditionalFormatting>
  <conditionalFormatting sqref="C9:L12">
    <cfRule type="expression" dxfId="148" priority="9">
      <formula>Wochetag($C$3:$P$3,2)&gt;5</formula>
    </cfRule>
  </conditionalFormatting>
  <conditionalFormatting sqref="C14:L15">
    <cfRule type="expression" dxfId="147" priority="8">
      <formula>Wochetag($C$3:$P$3,2)&gt;5</formula>
    </cfRule>
  </conditionalFormatting>
  <conditionalFormatting sqref="C17:L17">
    <cfRule type="expression" dxfId="146" priority="7">
      <formula>Wochetag($C$3:$P$3,2)&gt;5</formula>
    </cfRule>
  </conditionalFormatting>
  <conditionalFormatting sqref="C20:L20">
    <cfRule type="expression" dxfId="145" priority="6">
      <formula>Wochetag($C$3:$P$3,2)&gt;5</formula>
    </cfRule>
  </conditionalFormatting>
  <conditionalFormatting sqref="C22:L24">
    <cfRule type="expression" dxfId="144" priority="5">
      <formula>Wochetag($C$3:$P$3,2)&gt;5</formula>
    </cfRule>
  </conditionalFormatting>
  <conditionalFormatting sqref="C26:L28">
    <cfRule type="expression" dxfId="143" priority="4">
      <formula>Wochetag($C$3:$P$3,2)&gt;5</formula>
    </cfRule>
  </conditionalFormatting>
  <conditionalFormatting sqref="C30:L30">
    <cfRule type="expression" dxfId="142" priority="3">
      <formula>Wochetag($C$3:$P$3,2)&gt;5</formula>
    </cfRule>
  </conditionalFormatting>
  <conditionalFormatting sqref="K25:L25">
    <cfRule type="expression" dxfId="141" priority="2">
      <formula>Wochetag($C$3:$P$3,2)&gt;5</formula>
    </cfRule>
  </conditionalFormatting>
  <conditionalFormatting sqref="K29:L29">
    <cfRule type="expression" dxfId="140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6"/>
  <dimension ref="A1:W37"/>
  <sheetViews>
    <sheetView workbookViewId="0">
      <selection activeCell="C5" sqref="C5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3" x14ac:dyDescent="0.3">
      <c r="A1" s="6"/>
      <c r="C1" s="2" t="str">
        <f>IF(C2=Start!$B$1,"",IF(C2&lt;Start!$B$1,"altes Jahr",IF(C2&gt;Start!$B$1,"neues Jahr")))</f>
        <v>neues Jahr</v>
      </c>
      <c r="E1" s="2" t="str">
        <f>IF(E2=Start!$B$1,"",IF(E2&lt;Start!$B$1,"altes Jahr",IF(E2&gt;Start!$B$1,"neues Jahr")))</f>
        <v>neues Jahr</v>
      </c>
      <c r="G1" s="2" t="str">
        <f>IF(G2=Start!$B$1,"",IF(G2&lt;Start!$B$1,"altes Jahr",IF(G2&gt;Start!$B$1,"neues Jahr")))</f>
        <v>neues Jahr</v>
      </c>
      <c r="I1" s="2" t="str">
        <f>IF(I2=Start!$B$1,"",IF(I2&lt;Start!$B$1,"altes Jahr",IF(I2&gt;Start!$B$1,"neues Jahr")))</f>
        <v>neues Jahr</v>
      </c>
      <c r="K1" s="2" t="str">
        <f>IF(K2=Start!$B$1,"",IF(K2&lt;Start!$B$1,"altes Jahr",IF(K2&gt;Start!$B$1,"neues Jahr")))</f>
        <v>neues Jahr</v>
      </c>
      <c r="M1" s="2" t="str">
        <f>IF(M2=Start!$B$1,"",IF(M2&lt;Start!$B$1,"altes Jahr",IF(M2&gt;Start!$B$1,"neues Jahr")))</f>
        <v>neues Jahr</v>
      </c>
      <c r="O1" s="2" t="str">
        <f>IF(O2=Start!$B$1,"",IF(O2&lt;Start!$B$1,"altes Jahr",IF(O2&gt;Start!$B$1,"neues Jahr")))</f>
        <v>neues Jahr</v>
      </c>
    </row>
    <row r="2" spans="1:23" ht="15" thickBot="1" x14ac:dyDescent="0.35">
      <c r="A2" s="6"/>
      <c r="C2" s="122">
        <f>YEAR(C3)</f>
        <v>2022</v>
      </c>
      <c r="D2" s="119" t="str">
        <f>IFERROR(VLOOKUP(C3,Start!$F$2:$G$22,2,0),"")</f>
        <v/>
      </c>
      <c r="E2" s="122">
        <f>YEAR(E3)</f>
        <v>2022</v>
      </c>
      <c r="F2" s="119" t="str">
        <f>IFERROR(VLOOKUP(E3,Start!$F$2:$G$22,2,0),"")</f>
        <v/>
      </c>
      <c r="G2" s="122">
        <f>YEAR(G3)</f>
        <v>2022</v>
      </c>
      <c r="H2" s="119" t="str">
        <f>IFERROR(VLOOKUP(G3,Start!$F$2:$G$22,2,0),"")</f>
        <v/>
      </c>
      <c r="I2" s="122">
        <f>YEAR(I3)</f>
        <v>2022</v>
      </c>
      <c r="J2" s="119" t="str">
        <f>IFERROR(VLOOKUP(I3,Start!$F$2:$G$22,2,0),"")</f>
        <v/>
      </c>
      <c r="K2" s="122">
        <f>YEAR(K3)</f>
        <v>2022</v>
      </c>
      <c r="L2" s="119" t="str">
        <f>IFERROR(VLOOKUP(K3,Start!$F$2:$G$22,2,0),"")</f>
        <v/>
      </c>
      <c r="M2" s="122">
        <f>YEAR(M3)</f>
        <v>2022</v>
      </c>
      <c r="N2" s="119" t="str">
        <f>IFERROR(VLOOKUP(M3,Start!$F$2:$G$22,2,0),"")</f>
        <v/>
      </c>
      <c r="O2" s="122">
        <f>YEAR(O3)</f>
        <v>2022</v>
      </c>
      <c r="P2" s="119" t="str">
        <f>IFERROR(VLOOKUP(O3,Start!$F$2:$G$22,2,0),"")</f>
        <v/>
      </c>
    </row>
    <row r="3" spans="1:23" ht="15" thickBot="1" x14ac:dyDescent="0.35">
      <c r="A3" s="177" t="s">
        <v>20</v>
      </c>
      <c r="B3" s="181" t="s">
        <v>21</v>
      </c>
      <c r="C3" s="91">
        <f>'KW 1'!$C$3+364</f>
        <v>44564</v>
      </c>
      <c r="D3" s="92">
        <f>C3</f>
        <v>44564</v>
      </c>
      <c r="E3" s="91">
        <f>C3+1</f>
        <v>44565</v>
      </c>
      <c r="F3" s="92">
        <f>E3</f>
        <v>44565</v>
      </c>
      <c r="G3" s="91">
        <f>C3+2</f>
        <v>44566</v>
      </c>
      <c r="H3" s="92">
        <f>G3</f>
        <v>44566</v>
      </c>
      <c r="I3" s="91">
        <f>C3+3</f>
        <v>44567</v>
      </c>
      <c r="J3" s="92">
        <f>I3</f>
        <v>44567</v>
      </c>
      <c r="K3" s="91">
        <f>C3+4</f>
        <v>44568</v>
      </c>
      <c r="L3" s="92">
        <f>K3</f>
        <v>44568</v>
      </c>
      <c r="M3" s="91">
        <f>C3+5</f>
        <v>44569</v>
      </c>
      <c r="N3" s="92">
        <f>M3</f>
        <v>44569</v>
      </c>
      <c r="O3" s="91">
        <f>C3+6</f>
        <v>44570</v>
      </c>
      <c r="P3" s="92">
        <f>O3</f>
        <v>44570</v>
      </c>
      <c r="Q3" s="14" t="s">
        <v>0</v>
      </c>
      <c r="R3" s="15" t="s">
        <v>0</v>
      </c>
      <c r="S3" s="177" t="s">
        <v>1</v>
      </c>
      <c r="T3" s="177" t="s">
        <v>2</v>
      </c>
      <c r="U3" s="179" t="s">
        <v>3</v>
      </c>
      <c r="V3" s="175"/>
      <c r="W3" s="175" t="s">
        <v>4</v>
      </c>
    </row>
    <row r="4" spans="1:23" ht="15" thickBot="1" x14ac:dyDescent="0.35">
      <c r="A4" s="178"/>
      <c r="B4" s="182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80"/>
      <c r="V4" s="176"/>
      <c r="W4" s="176"/>
    </row>
    <row r="5" spans="1:23" x14ac:dyDescent="0.3">
      <c r="A5" s="19" t="str">
        <f>Start!A5</f>
        <v>Postbearbeitung Bestand</v>
      </c>
      <c r="B5" s="134">
        <f>'KW 52'!S5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3">
      <c r="A6" s="24" t="str">
        <f>Start!A6</f>
        <v>Mailbox</v>
      </c>
      <c r="B6" s="135">
        <f>'KW 52'!S6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" thickBot="1" x14ac:dyDescent="0.35">
      <c r="A7" s="29" t="str">
        <f>Start!A7</f>
        <v>Eilige</v>
      </c>
      <c r="B7" s="136">
        <f>'KW 52'!S7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5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3">
      <c r="A9" s="19" t="str">
        <f>Start!A9</f>
        <v>OVE Abfragen</v>
      </c>
      <c r="B9" s="135">
        <f>'KW 52'!S9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3">
      <c r="A10" s="24" t="str">
        <f>Start!A10</f>
        <v xml:space="preserve">   Buchungen</v>
      </c>
      <c r="B10" s="135">
        <f>'KW 52'!S10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3">
      <c r="A11" s="24" t="str">
        <f>Start!A11</f>
        <v>SB (Mietavale/StK)</v>
      </c>
      <c r="B11" s="135">
        <f>'KW 52'!S11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5">
      <c r="A12" s="29" t="str">
        <f>Start!A12</f>
        <v>neue Mietavale</v>
      </c>
      <c r="B12" s="135">
        <f>'KW 52'!S12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5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3">
      <c r="A14" s="19" t="str">
        <f>Start!A14</f>
        <v>Vorgängerinstitute</v>
      </c>
      <c r="B14" s="135">
        <f>'KW 52'!S14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5" thickBot="1" x14ac:dyDescent="0.35">
      <c r="A15" s="29" t="str">
        <f>Start!A15</f>
        <v>Einfachaufträge</v>
      </c>
      <c r="B15" s="135">
        <f>'KW 52'!S15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7.35" hidden="1" customHeight="1" thickBot="1" x14ac:dyDescent="0.35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" hidden="1" thickBot="1" x14ac:dyDescent="0.35">
      <c r="A17" s="41">
        <f>Start!A17</f>
        <v>0</v>
      </c>
      <c r="B17" s="135">
        <f>'KW 52'!S17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" thickBot="1" x14ac:dyDescent="0.35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" thickBot="1" x14ac:dyDescent="0.35">
      <c r="A20" s="41" t="str">
        <f>Start!A20</f>
        <v>Postbearbeitung</v>
      </c>
      <c r="B20" s="139">
        <f>'KW 52'!S20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5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3">
      <c r="A22" s="19" t="str">
        <f>Start!A22</f>
        <v>SWP Mailbox</v>
      </c>
      <c r="B22" s="134">
        <f>'KW 52'!S22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3">
      <c r="A23" s="24" t="str">
        <f>Start!A23</f>
        <v>KCB Mailbox</v>
      </c>
      <c r="B23" s="135">
        <f>'KW 52'!S23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" thickBot="1" x14ac:dyDescent="0.35">
      <c r="A24" s="29" t="str">
        <f>Start!A24</f>
        <v>SNOW</v>
      </c>
      <c r="B24" s="136">
        <f>'KW 52'!S24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5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3">
      <c r="A26" s="19" t="str">
        <f>Start!A26</f>
        <v>Antragsvorprüfung</v>
      </c>
      <c r="B26" s="134">
        <f>'KW 52'!S26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3">
      <c r="A27" s="24" t="str">
        <f>Start!A27</f>
        <v>LV TAZ</v>
      </c>
      <c r="B27" s="135">
        <f>'KW 52'!S27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" thickBot="1" x14ac:dyDescent="0.35">
      <c r="A28" s="29" t="str">
        <f>Start!A28</f>
        <v>WGV</v>
      </c>
      <c r="B28" s="136">
        <f>'KW 52'!S28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5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" thickBot="1" x14ac:dyDescent="0.35">
      <c r="A30" s="41" t="str">
        <f>Start!A30</f>
        <v>Postbearbeitung BCB</v>
      </c>
      <c r="B30" s="139">
        <f>'KW 52'!S30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" thickBot="1" x14ac:dyDescent="0.35">
      <c r="W32" s="56"/>
    </row>
    <row r="33" spans="1:23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" thickBot="1" x14ac:dyDescent="0.35">
      <c r="Q34" s="59"/>
      <c r="R34" s="59"/>
    </row>
    <row r="35" spans="1:23" ht="15.6" thickTop="1" thickBot="1" x14ac:dyDescent="0.35">
      <c r="A35" s="109" t="str">
        <f>Start!$A$35</f>
        <v>Übertrag Archiv Vorwoche</v>
      </c>
      <c r="B35" s="144">
        <f>'KW 52'!S35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3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" thickTop="1" x14ac:dyDescent="0.3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139" priority="12">
      <formula>Wochetag($C$3:$P$3,2)&gt;5</formula>
    </cfRule>
  </conditionalFormatting>
  <conditionalFormatting sqref="K25:L25 K29:L29">
    <cfRule type="expression" dxfId="138" priority="11">
      <formula>Wochetag($C$3:$P$3,2)&gt;5</formula>
    </cfRule>
  </conditionalFormatting>
  <conditionalFormatting sqref="C25:J25 C29:J29">
    <cfRule type="expression" dxfId="137" priority="10">
      <formula>Wochetag($C$3:$P$3,2)&gt;5</formula>
    </cfRule>
  </conditionalFormatting>
  <conditionalFormatting sqref="M29:P29">
    <cfRule type="expression" dxfId="136" priority="9">
      <formula>Wochetag($C$3:$P$3,2)&gt;5</formula>
    </cfRule>
  </conditionalFormatting>
  <conditionalFormatting sqref="M11:P11">
    <cfRule type="expression" dxfId="135" priority="8">
      <formula>Wochetag($C$3:$P$3,2)&gt;5</formula>
    </cfRule>
  </conditionalFormatting>
  <conditionalFormatting sqref="C9:L12">
    <cfRule type="expression" dxfId="134" priority="7">
      <formula>Wochetag($C$3:$P$3,2)&gt;5</formula>
    </cfRule>
  </conditionalFormatting>
  <conditionalFormatting sqref="C14:L15">
    <cfRule type="expression" dxfId="133" priority="6">
      <formula>Wochetag($C$3:$P$3,2)&gt;5</formula>
    </cfRule>
  </conditionalFormatting>
  <conditionalFormatting sqref="C17:L17">
    <cfRule type="expression" dxfId="132" priority="5">
      <formula>Wochetag($C$3:$P$3,2)&gt;5</formula>
    </cfRule>
  </conditionalFormatting>
  <conditionalFormatting sqref="C20:L20">
    <cfRule type="expression" dxfId="131" priority="4">
      <formula>Wochetag($C$3:$P$3,2)&gt;5</formula>
    </cfRule>
  </conditionalFormatting>
  <conditionalFormatting sqref="C22:L24">
    <cfRule type="expression" dxfId="130" priority="3">
      <formula>Wochetag($C$3:$P$3,2)&gt;5</formula>
    </cfRule>
  </conditionalFormatting>
  <conditionalFormatting sqref="C26:L28">
    <cfRule type="expression" dxfId="129" priority="2">
      <formula>Wochetag($C$3:$P$3,2)&gt;5</formula>
    </cfRule>
  </conditionalFormatting>
  <conditionalFormatting sqref="C30:L30">
    <cfRule type="expression" dxfId="128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7"/>
  <dimension ref="A1:W37"/>
  <sheetViews>
    <sheetView workbookViewId="0">
      <selection activeCell="D27" sqref="D27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59" customWidth="1"/>
    <col min="3" max="16" width="10.77734375" style="2" customWidth="1"/>
    <col min="17" max="18" width="9.77734375" style="2" customWidth="1"/>
    <col min="19" max="16384" width="10.5546875" style="2"/>
  </cols>
  <sheetData>
    <row r="1" spans="1:23" x14ac:dyDescent="0.3">
      <c r="A1" s="6"/>
      <c r="C1" s="2" t="str">
        <f>IF(C2=Start!$B$1,"",IF(C2&lt;Start!$B$1,"altes Jahr",IF(C2&gt;Start!$B$1,"neues Jahr")))</f>
        <v>neues Jahr</v>
      </c>
      <c r="E1" s="2" t="str">
        <f>IF(E2=Start!$B$1,"",IF(E2&lt;Start!$B$1,"altes Jahr",IF(E2&gt;Start!$B$1,"neues Jahr")))</f>
        <v>neues Jahr</v>
      </c>
      <c r="G1" s="2" t="str">
        <f>IF(G2=Start!$B$1,"",IF(G2&lt;Start!$B$1,"altes Jahr",IF(G2&gt;Start!$B$1,"neues Jahr")))</f>
        <v>neues Jahr</v>
      </c>
      <c r="I1" s="2" t="str">
        <f>IF(I2=Start!$B$1,"",IF(I2&lt;Start!$B$1,"altes Jahr",IF(I2&gt;Start!$B$1,"neues Jahr")))</f>
        <v>neues Jahr</v>
      </c>
      <c r="K1" s="2" t="str">
        <f>IF(K2=Start!$B$1,"",IF(K2&lt;Start!$B$1,"altes Jahr",IF(K2&gt;Start!$B$1,"neues Jahr")))</f>
        <v>neues Jahr</v>
      </c>
      <c r="M1" s="2" t="str">
        <f>IF(M2=Start!$B$1,"",IF(M2&lt;Start!$B$1,"altes Jahr",IF(M2&gt;Start!$B$1,"neues Jahr")))</f>
        <v>neues Jahr</v>
      </c>
      <c r="O1" s="2" t="str">
        <f>IF(O2=Start!$B$1,"",IF(O2&lt;Start!$B$1,"altes Jahr",IF(O2&gt;Start!$B$1,"neues Jahr")))</f>
        <v>neues Jahr</v>
      </c>
    </row>
    <row r="2" spans="1:23" ht="15" thickBot="1" x14ac:dyDescent="0.35">
      <c r="A2" s="6"/>
      <c r="C2" s="122">
        <f>YEAR(C3)</f>
        <v>2022</v>
      </c>
      <c r="D2" s="119" t="str">
        <f>IFERROR(VLOOKUP(C3,Start!$F$2:$G$22,2,0),"")</f>
        <v/>
      </c>
      <c r="E2" s="122">
        <f>YEAR(E3)</f>
        <v>2022</v>
      </c>
      <c r="F2" s="119" t="str">
        <f>IFERROR(VLOOKUP(E3,Start!$F$2:$G$22,2,0),"")</f>
        <v/>
      </c>
      <c r="G2" s="122">
        <f>YEAR(G3)</f>
        <v>2022</v>
      </c>
      <c r="H2" s="119" t="str">
        <f>IFERROR(VLOOKUP(G3,Start!$F$2:$G$22,2,0),"")</f>
        <v/>
      </c>
      <c r="I2" s="122">
        <f>YEAR(I3)</f>
        <v>2022</v>
      </c>
      <c r="J2" s="119" t="str">
        <f>IFERROR(VLOOKUP(I3,Start!$F$2:$G$22,2,0),"")</f>
        <v/>
      </c>
      <c r="K2" s="122">
        <f>YEAR(K3)</f>
        <v>2022</v>
      </c>
      <c r="L2" s="119" t="str">
        <f>IFERROR(VLOOKUP(K3,Start!$F$2:$G$22,2,0),"")</f>
        <v/>
      </c>
      <c r="M2" s="122">
        <f>YEAR(M3)</f>
        <v>2022</v>
      </c>
      <c r="N2" s="119" t="str">
        <f>IFERROR(VLOOKUP(M3,Start!$F$2:$G$22,2,0),"")</f>
        <v/>
      </c>
      <c r="O2" s="122">
        <f>YEAR(O3)</f>
        <v>2022</v>
      </c>
      <c r="P2" s="119" t="str">
        <f>IFERROR(VLOOKUP(O3,Start!$F$2:$G$22,2,0),"")</f>
        <v/>
      </c>
    </row>
    <row r="3" spans="1:23" ht="15" thickBot="1" x14ac:dyDescent="0.35">
      <c r="A3" s="177" t="s">
        <v>20</v>
      </c>
      <c r="B3" s="181" t="s">
        <v>21</v>
      </c>
      <c r="C3" s="91">
        <f>'KW 1'!$C$3+371</f>
        <v>44571</v>
      </c>
      <c r="D3" s="92">
        <f>C3</f>
        <v>44571</v>
      </c>
      <c r="E3" s="91">
        <f>C3+1</f>
        <v>44572</v>
      </c>
      <c r="F3" s="92">
        <f>E3</f>
        <v>44572</v>
      </c>
      <c r="G3" s="91">
        <f>C3+2</f>
        <v>44573</v>
      </c>
      <c r="H3" s="92">
        <f>G3</f>
        <v>44573</v>
      </c>
      <c r="I3" s="91">
        <f>C3+3</f>
        <v>44574</v>
      </c>
      <c r="J3" s="92">
        <f>I3</f>
        <v>44574</v>
      </c>
      <c r="K3" s="91">
        <f>C3+4</f>
        <v>44575</v>
      </c>
      <c r="L3" s="92">
        <f>K3</f>
        <v>44575</v>
      </c>
      <c r="M3" s="91">
        <f>C3+5</f>
        <v>44576</v>
      </c>
      <c r="N3" s="92">
        <f>M3</f>
        <v>44576</v>
      </c>
      <c r="O3" s="91">
        <f>C3+6</f>
        <v>44577</v>
      </c>
      <c r="P3" s="92">
        <f>O3</f>
        <v>44577</v>
      </c>
      <c r="Q3" s="14" t="s">
        <v>0</v>
      </c>
      <c r="R3" s="15" t="s">
        <v>0</v>
      </c>
      <c r="S3" s="177" t="s">
        <v>1</v>
      </c>
      <c r="T3" s="177" t="s">
        <v>2</v>
      </c>
      <c r="U3" s="179" t="s">
        <v>3</v>
      </c>
      <c r="V3" s="175"/>
      <c r="W3" s="175" t="s">
        <v>4</v>
      </c>
    </row>
    <row r="4" spans="1:23" ht="15" thickBot="1" x14ac:dyDescent="0.35">
      <c r="A4" s="178"/>
      <c r="B4" s="182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80"/>
      <c r="V4" s="176"/>
      <c r="W4" s="176"/>
    </row>
    <row r="5" spans="1:23" x14ac:dyDescent="0.3">
      <c r="A5" s="19" t="str">
        <f>Start!A5</f>
        <v>Postbearbeitung Bestand</v>
      </c>
      <c r="B5" s="134">
        <f>'KW 53.1'!S5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60"/>
      <c r="V5" s="60"/>
      <c r="W5" s="23">
        <f t="shared" ref="W5:W30" si="0">Q5/5</f>
        <v>0</v>
      </c>
    </row>
    <row r="6" spans="1:23" x14ac:dyDescent="0.3">
      <c r="A6" s="24" t="str">
        <f>Start!A6</f>
        <v>Mailbox</v>
      </c>
      <c r="B6" s="135">
        <f>'KW 53.1'!S6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61"/>
      <c r="V6" s="61"/>
      <c r="W6" s="28">
        <f t="shared" si="0"/>
        <v>0</v>
      </c>
    </row>
    <row r="7" spans="1:23" ht="15" thickBot="1" x14ac:dyDescent="0.35">
      <c r="A7" s="29" t="str">
        <f>Start!A7</f>
        <v>Eilige</v>
      </c>
      <c r="B7" s="136">
        <f>'KW 53.1'!S7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62"/>
      <c r="V7" s="62"/>
      <c r="W7" s="33">
        <f t="shared" si="0"/>
        <v>0</v>
      </c>
    </row>
    <row r="8" spans="1:23" ht="7.35" customHeight="1" thickBot="1" x14ac:dyDescent="0.35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15"/>
    </row>
    <row r="9" spans="1:23" x14ac:dyDescent="0.3">
      <c r="A9" s="19" t="str">
        <f>Start!A9</f>
        <v>OVE Abfragen</v>
      </c>
      <c r="B9" s="135">
        <f>'KW 53.1'!S9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60"/>
      <c r="V9" s="60"/>
      <c r="W9" s="23">
        <f t="shared" si="0"/>
        <v>0</v>
      </c>
    </row>
    <row r="10" spans="1:23" x14ac:dyDescent="0.3">
      <c r="A10" s="24" t="str">
        <f>Start!A10</f>
        <v xml:space="preserve">   Buchungen</v>
      </c>
      <c r="B10" s="135">
        <f>'KW 53.1'!S10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61"/>
      <c r="V10" s="61"/>
      <c r="W10" s="28">
        <f t="shared" si="0"/>
        <v>0</v>
      </c>
    </row>
    <row r="11" spans="1:23" x14ac:dyDescent="0.3">
      <c r="A11" s="24" t="str">
        <f>Start!A11</f>
        <v>SB (Mietavale/StK)</v>
      </c>
      <c r="B11" s="135">
        <f>'KW 53.1'!S11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61"/>
      <c r="V11" s="61"/>
      <c r="W11" s="28">
        <f t="shared" si="0"/>
        <v>0</v>
      </c>
    </row>
    <row r="12" spans="1:23" ht="15" customHeight="1" thickBot="1" x14ac:dyDescent="0.35">
      <c r="A12" s="29" t="str">
        <f>Start!A12</f>
        <v>neue Mietavale</v>
      </c>
      <c r="B12" s="135">
        <f>'KW 53.1'!S12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63"/>
      <c r="V12" s="64"/>
      <c r="W12" s="33">
        <f t="shared" si="0"/>
        <v>0</v>
      </c>
    </row>
    <row r="13" spans="1:23" ht="7.35" customHeight="1" thickBot="1" x14ac:dyDescent="0.35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5"/>
    </row>
    <row r="14" spans="1:23" x14ac:dyDescent="0.3">
      <c r="A14" s="19" t="str">
        <f>Start!A14</f>
        <v>Vorgängerinstitute</v>
      </c>
      <c r="B14" s="135">
        <f>'KW 53.1'!S14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65"/>
      <c r="V14" s="65"/>
      <c r="W14" s="23">
        <f t="shared" si="0"/>
        <v>0</v>
      </c>
    </row>
    <row r="15" spans="1:23" ht="12.6" customHeight="1" thickBot="1" x14ac:dyDescent="0.35">
      <c r="A15" s="29" t="str">
        <f>Start!A15</f>
        <v>Einfachaufträge</v>
      </c>
      <c r="B15" s="135">
        <f>'KW 53.1'!S15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66"/>
      <c r="V15" s="66"/>
      <c r="W15" s="33">
        <f t="shared" si="0"/>
        <v>0</v>
      </c>
    </row>
    <row r="16" spans="1:23" ht="1.35" hidden="1" customHeight="1" thickBot="1" x14ac:dyDescent="0.35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15"/>
    </row>
    <row r="17" spans="1:23" ht="15" hidden="1" thickBot="1" x14ac:dyDescent="0.35">
      <c r="A17" s="41">
        <f>Start!A17</f>
        <v>0</v>
      </c>
      <c r="B17" s="135">
        <f>'KW 53.1'!S17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67"/>
      <c r="V17" s="67"/>
      <c r="W17" s="46">
        <f t="shared" si="0"/>
        <v>0</v>
      </c>
    </row>
    <row r="18" spans="1:23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  <c r="V18" s="49"/>
      <c r="W18" s="49"/>
    </row>
    <row r="19" spans="1:23" ht="15" thickBot="1" x14ac:dyDescent="0.35">
      <c r="A19" s="50"/>
      <c r="B19" s="141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1"/>
      <c r="W19" s="52"/>
    </row>
    <row r="20" spans="1:23" ht="15" thickBot="1" x14ac:dyDescent="0.35">
      <c r="A20" s="41" t="str">
        <f>Start!A20</f>
        <v>Postbearbeitung</v>
      </c>
      <c r="B20" s="139">
        <f>'KW 53.1'!S20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68"/>
      <c r="V20" s="68"/>
      <c r="W20" s="46">
        <f t="shared" si="0"/>
        <v>0</v>
      </c>
    </row>
    <row r="21" spans="1:23" ht="7.35" customHeight="1" thickBot="1" x14ac:dyDescent="0.35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15"/>
    </row>
    <row r="22" spans="1:23" x14ac:dyDescent="0.3">
      <c r="A22" s="19" t="str">
        <f>Start!A22</f>
        <v>SWP Mailbox</v>
      </c>
      <c r="B22" s="134">
        <f>'KW 53.1'!S22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60"/>
      <c r="V22" s="60"/>
      <c r="W22" s="23">
        <f t="shared" si="0"/>
        <v>0</v>
      </c>
    </row>
    <row r="23" spans="1:23" x14ac:dyDescent="0.3">
      <c r="A23" s="24" t="str">
        <f>Start!A23</f>
        <v>KCB Mailbox</v>
      </c>
      <c r="B23" s="135">
        <f>'KW 53.1'!S23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61"/>
      <c r="V23" s="61"/>
      <c r="W23" s="28">
        <f t="shared" si="0"/>
        <v>0</v>
      </c>
    </row>
    <row r="24" spans="1:23" ht="15" thickBot="1" x14ac:dyDescent="0.35">
      <c r="A24" s="29" t="str">
        <f>Start!A24</f>
        <v>SNOW</v>
      </c>
      <c r="B24" s="136">
        <f>'KW 53.1'!S24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62"/>
      <c r="V24" s="62"/>
      <c r="W24" s="33">
        <f t="shared" si="0"/>
        <v>0</v>
      </c>
    </row>
    <row r="25" spans="1:23" ht="7.35" customHeight="1" thickBot="1" x14ac:dyDescent="0.35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15"/>
    </row>
    <row r="26" spans="1:23" x14ac:dyDescent="0.3">
      <c r="A26" s="19" t="str">
        <f>Start!A26</f>
        <v>Antragsvorprüfung</v>
      </c>
      <c r="B26" s="134">
        <f>'KW 53.1'!S26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60"/>
      <c r="V26" s="60"/>
      <c r="W26" s="23">
        <f t="shared" si="0"/>
        <v>0</v>
      </c>
    </row>
    <row r="27" spans="1:23" x14ac:dyDescent="0.3">
      <c r="A27" s="24" t="str">
        <f>Start!A27</f>
        <v>LV TAZ</v>
      </c>
      <c r="B27" s="135">
        <f>'KW 53.1'!S27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61"/>
      <c r="V27" s="61"/>
      <c r="W27" s="28">
        <f t="shared" si="0"/>
        <v>0</v>
      </c>
    </row>
    <row r="28" spans="1:23" ht="15" thickBot="1" x14ac:dyDescent="0.35">
      <c r="A28" s="29" t="str">
        <f>Start!A28</f>
        <v>WGV</v>
      </c>
      <c r="B28" s="136">
        <f>'KW 53.1'!S28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62"/>
      <c r="V28" s="62"/>
      <c r="W28" s="33">
        <f t="shared" si="0"/>
        <v>0</v>
      </c>
    </row>
    <row r="29" spans="1:23" ht="7.35" customHeight="1" thickBot="1" x14ac:dyDescent="0.35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4"/>
      <c r="W29" s="54"/>
    </row>
    <row r="30" spans="1:23" ht="15" thickBot="1" x14ac:dyDescent="0.35">
      <c r="A30" s="41" t="str">
        <f>Start!A30</f>
        <v>Postbearbeitung BCB</v>
      </c>
      <c r="B30" s="139">
        <f>'KW 53.1'!S30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68"/>
      <c r="V30" s="68"/>
      <c r="W30" s="46">
        <f t="shared" si="0"/>
        <v>0</v>
      </c>
    </row>
    <row r="31" spans="1:23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  <c r="V31" s="55"/>
      <c r="W31" s="55"/>
    </row>
    <row r="32" spans="1:23" ht="15" thickBot="1" x14ac:dyDescent="0.35">
      <c r="W32" s="56"/>
    </row>
    <row r="33" spans="1:23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  <c r="V33" s="57"/>
      <c r="W33" s="57"/>
    </row>
    <row r="34" spans="1:23" ht="15" thickBot="1" x14ac:dyDescent="0.35">
      <c r="Q34" s="59"/>
      <c r="R34" s="59"/>
    </row>
    <row r="35" spans="1:23" ht="15.6" thickTop="1" thickBot="1" x14ac:dyDescent="0.35">
      <c r="A35" s="109" t="str">
        <f>Start!$A$35</f>
        <v>Übertrag Archiv Vorwoche</v>
      </c>
      <c r="B35" s="144">
        <f>'KW 53.1'!S35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3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3" ht="15" thickTop="1" x14ac:dyDescent="0.3"/>
  </sheetData>
  <sheetProtection selectLockedCells="1"/>
  <mergeCells count="6">
    <mergeCell ref="W3:W4"/>
    <mergeCell ref="A3:A4"/>
    <mergeCell ref="B3:B4"/>
    <mergeCell ref="S3:S4"/>
    <mergeCell ref="T3:T4"/>
    <mergeCell ref="U3:V4"/>
  </mergeCells>
  <conditionalFormatting sqref="C5:P7 M9:P10">
    <cfRule type="expression" dxfId="127" priority="12">
      <formula>Wochetag($C$3:$P$3,2)&gt;5</formula>
    </cfRule>
  </conditionalFormatting>
  <conditionalFormatting sqref="K25:L25 K29:L29">
    <cfRule type="expression" dxfId="126" priority="11">
      <formula>Wochetag($C$3:$P$3,2)&gt;5</formula>
    </cfRule>
  </conditionalFormatting>
  <conditionalFormatting sqref="C25:J25 C29:J29">
    <cfRule type="expression" dxfId="125" priority="10">
      <formula>Wochetag($C$3:$P$3,2)&gt;5</formula>
    </cfRule>
  </conditionalFormatting>
  <conditionalFormatting sqref="M29:P29">
    <cfRule type="expression" dxfId="124" priority="9">
      <formula>Wochetag($C$3:$P$3,2)&gt;5</formula>
    </cfRule>
  </conditionalFormatting>
  <conditionalFormatting sqref="M11:P11">
    <cfRule type="expression" dxfId="123" priority="8">
      <formula>Wochetag($C$3:$P$3,2)&gt;5</formula>
    </cfRule>
  </conditionalFormatting>
  <conditionalFormatting sqref="C9:L12">
    <cfRule type="expression" dxfId="122" priority="7">
      <formula>Wochetag($C$3:$P$3,2)&gt;5</formula>
    </cfRule>
  </conditionalFormatting>
  <conditionalFormatting sqref="C14:L15">
    <cfRule type="expression" dxfId="121" priority="6">
      <formula>Wochetag($C$3:$P$3,2)&gt;5</formula>
    </cfRule>
  </conditionalFormatting>
  <conditionalFormatting sqref="C17:L17">
    <cfRule type="expression" dxfId="120" priority="5">
      <formula>Wochetag($C$3:$P$3,2)&gt;5</formula>
    </cfRule>
  </conditionalFormatting>
  <conditionalFormatting sqref="C20:L20">
    <cfRule type="expression" dxfId="119" priority="4">
      <formula>Wochetag($C$3:$P$3,2)&gt;5</formula>
    </cfRule>
  </conditionalFormatting>
  <conditionalFormatting sqref="C22:L24">
    <cfRule type="expression" dxfId="118" priority="3">
      <formula>Wochetag($C$3:$P$3,2)&gt;5</formula>
    </cfRule>
  </conditionalFormatting>
  <conditionalFormatting sqref="C26:L28">
    <cfRule type="expression" dxfId="117" priority="2">
      <formula>Wochetag($C$3:$P$3,2)&gt;5</formula>
    </cfRule>
  </conditionalFormatting>
  <conditionalFormatting sqref="C30:L30">
    <cfRule type="expression" dxfId="116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U37"/>
  <sheetViews>
    <sheetView topLeftCell="A13" workbookViewId="0">
      <selection activeCell="P35" sqref="P35:P36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2" customWidth="1"/>
    <col min="3" max="16" width="10.77734375" style="2" customWidth="1"/>
    <col min="17" max="17" width="10.5546875" style="2" customWidth="1"/>
    <col min="18" max="16384" width="10.5546875" style="2"/>
  </cols>
  <sheetData>
    <row r="1" spans="1:21" x14ac:dyDescent="0.3">
      <c r="A1" s="6"/>
      <c r="B1" s="12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B2" s="13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77" t="s">
        <v>20</v>
      </c>
      <c r="B3" s="177" t="s">
        <v>21</v>
      </c>
      <c r="C3" s="91">
        <f>'KW 1'!$C$3+14</f>
        <v>44214</v>
      </c>
      <c r="D3" s="92">
        <f>C3</f>
        <v>44214</v>
      </c>
      <c r="E3" s="91">
        <f>C3+1</f>
        <v>44215</v>
      </c>
      <c r="F3" s="92">
        <f>E3</f>
        <v>44215</v>
      </c>
      <c r="G3" s="91">
        <f>C3+2</f>
        <v>44216</v>
      </c>
      <c r="H3" s="92">
        <f>G3</f>
        <v>44216</v>
      </c>
      <c r="I3" s="91">
        <f>C3+3</f>
        <v>44217</v>
      </c>
      <c r="J3" s="92">
        <f>I3</f>
        <v>44217</v>
      </c>
      <c r="K3" s="91">
        <f>C3+4</f>
        <v>44218</v>
      </c>
      <c r="L3" s="92">
        <f>K3</f>
        <v>44218</v>
      </c>
      <c r="M3" s="91">
        <f>C3+5</f>
        <v>44219</v>
      </c>
      <c r="N3" s="92">
        <f>M3</f>
        <v>44219</v>
      </c>
      <c r="O3" s="91">
        <f>C3+6</f>
        <v>44220</v>
      </c>
      <c r="P3" s="92">
        <f>O3</f>
        <v>44220</v>
      </c>
      <c r="Q3" s="14" t="s">
        <v>0</v>
      </c>
      <c r="R3" s="15" t="s">
        <v>0</v>
      </c>
      <c r="S3" s="177" t="s">
        <v>1</v>
      </c>
      <c r="T3" s="177" t="s">
        <v>2</v>
      </c>
      <c r="U3" s="175" t="s">
        <v>4</v>
      </c>
    </row>
    <row r="4" spans="1:21" ht="15" thickBot="1" x14ac:dyDescent="0.35">
      <c r="A4" s="178"/>
      <c r="B4" s="178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76"/>
    </row>
    <row r="5" spans="1:21" x14ac:dyDescent="0.3">
      <c r="A5" s="19" t="str">
        <f>Start!A5</f>
        <v>Postbearbeitung Bestand</v>
      </c>
      <c r="B5" s="134">
        <f>'KW 2'!S5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5">
        <f>'KW 2'!S6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>C6+E6+G6+I6+K6+M6+O6</f>
        <v>0</v>
      </c>
      <c r="R6" s="26">
        <f>D6+F6+H6+J6+L6+N6+P6</f>
        <v>0</v>
      </c>
      <c r="S6" s="27">
        <f>B6+Q6-R6</f>
        <v>0</v>
      </c>
      <c r="T6" s="27">
        <f t="shared" ref="T6:T7" si="1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6">
        <f>'KW 2'!S7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ref="Q7:R7" si="2">C7+E7+G7+I7+K7+M7+O7</f>
        <v>0</v>
      </c>
      <c r="R7" s="31">
        <f t="shared" si="2"/>
        <v>0</v>
      </c>
      <c r="S7" s="32">
        <f>B7+Q7-R7</f>
        <v>0</v>
      </c>
      <c r="T7" s="32">
        <f t="shared" si="1"/>
        <v>0</v>
      </c>
      <c r="U7" s="33">
        <f t="shared" si="0"/>
        <v>0</v>
      </c>
    </row>
    <row r="8" spans="1:21" ht="7.35" customHeight="1" thickBot="1" x14ac:dyDescent="0.35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5">
        <f>'KW 2'!S9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3">C9+E9+G9+I9+K9+M9+O9</f>
        <v>0</v>
      </c>
      <c r="R9" s="21">
        <f t="shared" si="3"/>
        <v>0</v>
      </c>
      <c r="S9" s="22">
        <f>B9+Q9-R9</f>
        <v>0</v>
      </c>
      <c r="T9" s="22">
        <f t="shared" ref="T9:T17" si="4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5">
        <f>'KW 2'!S10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3"/>
        <v>0</v>
      </c>
      <c r="R10" s="26">
        <f t="shared" si="3"/>
        <v>0</v>
      </c>
      <c r="S10" s="27">
        <f>B10+Q10-R10</f>
        <v>0</v>
      </c>
      <c r="T10" s="27">
        <f t="shared" si="4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5">
        <f>'KW 2'!S11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3"/>
        <v>0</v>
      </c>
      <c r="R11" s="26">
        <f t="shared" si="3"/>
        <v>0</v>
      </c>
      <c r="S11" s="27">
        <f>B11+Q11-R11</f>
        <v>2</v>
      </c>
      <c r="T11" s="27">
        <f t="shared" si="4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5">
        <f>'KW 2'!S12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3"/>
        <v>0</v>
      </c>
      <c r="R12" s="31">
        <f t="shared" si="3"/>
        <v>0</v>
      </c>
      <c r="S12" s="32">
        <f>B12+Q12-R12</f>
        <v>0</v>
      </c>
      <c r="T12" s="32">
        <f t="shared" si="4"/>
        <v>0</v>
      </c>
      <c r="U12" s="33">
        <f t="shared" si="0"/>
        <v>0</v>
      </c>
    </row>
    <row r="13" spans="1:21" ht="7.35" customHeight="1" thickBot="1" x14ac:dyDescent="0.35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5">
        <f>'KW 2'!S14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5">C14+E14+G14+I14+K14+M14+O14</f>
        <v>0</v>
      </c>
      <c r="R14" s="21">
        <f t="shared" si="5"/>
        <v>0</v>
      </c>
      <c r="S14" s="22">
        <f>B14+Q14-R14</f>
        <v>0</v>
      </c>
      <c r="T14" s="22">
        <f t="shared" si="4"/>
        <v>0</v>
      </c>
      <c r="U14" s="23">
        <f t="shared" si="0"/>
        <v>0</v>
      </c>
    </row>
    <row r="15" spans="1:21" ht="13.5" customHeight="1" thickBot="1" x14ac:dyDescent="0.35">
      <c r="A15" s="29" t="str">
        <f>Start!A15</f>
        <v>Einfachaufträge</v>
      </c>
      <c r="B15" s="135">
        <f>'KW 2'!S15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5"/>
        <v>0</v>
      </c>
      <c r="R15" s="31">
        <f t="shared" si="5"/>
        <v>0</v>
      </c>
      <c r="S15" s="32">
        <f>B15+Q15-R15</f>
        <v>0</v>
      </c>
      <c r="T15" s="32">
        <f t="shared" si="4"/>
        <v>0</v>
      </c>
      <c r="U15" s="33">
        <f t="shared" si="0"/>
        <v>0</v>
      </c>
    </row>
    <row r="16" spans="1:21" ht="7.35" hidden="1" customHeight="1" thickBot="1" x14ac:dyDescent="0.35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5">
        <f>'KW 2'!S17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6">C17+E17+G17+I17+K17+M17+O17</f>
        <v>0</v>
      </c>
      <c r="R17" s="43">
        <f t="shared" si="6"/>
        <v>0</v>
      </c>
      <c r="S17" s="44">
        <f>B17+Q17-R17</f>
        <v>0</v>
      </c>
      <c r="T17" s="44">
        <f t="shared" si="4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 t="shared" ref="B18:L18" si="7">SUM(B5:B17)</f>
        <v>2</v>
      </c>
      <c r="C18" s="48">
        <f>SUM(C5:C17)</f>
        <v>0</v>
      </c>
      <c r="D18" s="48">
        <f>SUM(D5:D17)</f>
        <v>0</v>
      </c>
      <c r="E18" s="48">
        <f t="shared" si="7"/>
        <v>0</v>
      </c>
      <c r="F18" s="48">
        <f t="shared" si="7"/>
        <v>0</v>
      </c>
      <c r="G18" s="48">
        <f t="shared" si="7"/>
        <v>0</v>
      </c>
      <c r="H18" s="48">
        <f t="shared" si="7"/>
        <v>0</v>
      </c>
      <c r="I18" s="48">
        <f t="shared" si="7"/>
        <v>0</v>
      </c>
      <c r="J18" s="48">
        <f t="shared" si="7"/>
        <v>0</v>
      </c>
      <c r="K18" s="48">
        <f t="shared" si="7"/>
        <v>0</v>
      </c>
      <c r="L18" s="48">
        <f t="shared" si="7"/>
        <v>0</v>
      </c>
      <c r="M18" s="48">
        <f t="shared" ref="M18:T18" si="8">SUM(M5:M17)</f>
        <v>0</v>
      </c>
      <c r="N18" s="48">
        <f t="shared" si="8"/>
        <v>0</v>
      </c>
      <c r="O18" s="48">
        <f t="shared" si="8"/>
        <v>0</v>
      </c>
      <c r="P18" s="48">
        <f t="shared" si="8"/>
        <v>0</v>
      </c>
      <c r="Q18" s="48">
        <f t="shared" si="8"/>
        <v>0</v>
      </c>
      <c r="R18" s="48">
        <f t="shared" si="8"/>
        <v>0</v>
      </c>
      <c r="S18" s="49">
        <f>SUM(S5:S17)</f>
        <v>2</v>
      </c>
      <c r="T18" s="49">
        <f t="shared" si="8"/>
        <v>0</v>
      </c>
      <c r="U18" s="49"/>
    </row>
    <row r="19" spans="1:21" ht="15" thickBot="1" x14ac:dyDescent="0.35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39">
        <f>'KW 2'!S20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9">C20+E20+G20+I20+K20+M20+O20</f>
        <v>0</v>
      </c>
      <c r="R20" s="43">
        <f t="shared" si="9"/>
        <v>0</v>
      </c>
      <c r="S20" s="44">
        <f>B20+Q20-R20</f>
        <v>0</v>
      </c>
      <c r="T20" s="44">
        <f t="shared" ref="T20:T30" si="10">R20/5</f>
        <v>0</v>
      </c>
      <c r="U20" s="46">
        <f t="shared" si="0"/>
        <v>0</v>
      </c>
    </row>
    <row r="21" spans="1:21" ht="7.35" customHeight="1" thickBot="1" x14ac:dyDescent="0.35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5">
        <f>'KW 2'!S22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1">C22+E22+G22+I22+K22+M22+O22</f>
        <v>0</v>
      </c>
      <c r="R22" s="21">
        <f t="shared" si="11"/>
        <v>0</v>
      </c>
      <c r="S22" s="22">
        <f>B22+Q22-R22</f>
        <v>0</v>
      </c>
      <c r="T22" s="22">
        <f t="shared" si="10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5">
        <f>'KW 2'!S23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1"/>
        <v>0</v>
      </c>
      <c r="R23" s="26">
        <f t="shared" si="11"/>
        <v>0</v>
      </c>
      <c r="S23" s="27">
        <f>B23+Q23-R23</f>
        <v>0</v>
      </c>
      <c r="T23" s="27">
        <f t="shared" si="10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5">
        <f>'KW 2'!S24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1"/>
        <v>0</v>
      </c>
      <c r="R24" s="31">
        <f t="shared" si="11"/>
        <v>0</v>
      </c>
      <c r="S24" s="32">
        <f t="shared" ref="S24:S30" si="12">B24+Q24-R24</f>
        <v>0</v>
      </c>
      <c r="T24" s="32">
        <f t="shared" si="10"/>
        <v>0</v>
      </c>
      <c r="U24" s="33">
        <f t="shared" si="0"/>
        <v>0</v>
      </c>
    </row>
    <row r="25" spans="1:21" ht="7.35" customHeight="1" thickBot="1" x14ac:dyDescent="0.35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4">
        <f>'KW 2'!S26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3">C26+E26+G26+I26+K26+M26+O26</f>
        <v>0</v>
      </c>
      <c r="R26" s="21">
        <f t="shared" si="13"/>
        <v>0</v>
      </c>
      <c r="S26" s="22">
        <f t="shared" si="12"/>
        <v>1</v>
      </c>
      <c r="T26" s="22">
        <f t="shared" si="10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5">
        <f>'KW 2'!S27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3"/>
        <v>0</v>
      </c>
      <c r="R27" s="26">
        <f t="shared" si="13"/>
        <v>0</v>
      </c>
      <c r="S27" s="27">
        <f t="shared" si="12"/>
        <v>48</v>
      </c>
      <c r="T27" s="27">
        <f t="shared" si="10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6">
        <f>'KW 2'!S28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3"/>
        <v>0</v>
      </c>
      <c r="R28" s="31">
        <f t="shared" si="13"/>
        <v>0</v>
      </c>
      <c r="S28" s="32">
        <f t="shared" si="12"/>
        <v>7</v>
      </c>
      <c r="T28" s="32">
        <f t="shared" si="10"/>
        <v>0</v>
      </c>
      <c r="U28" s="33">
        <f t="shared" si="0"/>
        <v>0</v>
      </c>
    </row>
    <row r="29" spans="1:21" ht="7.35" customHeight="1" thickBot="1" x14ac:dyDescent="0.35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39">
        <f>'KW 2'!S30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4">C30+E30+G30+I30+K30+M30+O30</f>
        <v>0</v>
      </c>
      <c r="R30" s="43">
        <f t="shared" si="14"/>
        <v>0</v>
      </c>
      <c r="S30" s="44">
        <f t="shared" si="12"/>
        <v>0</v>
      </c>
      <c r="T30" s="44">
        <f t="shared" si="10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5">SUM(D20:D30)</f>
        <v>0</v>
      </c>
      <c r="E31" s="55">
        <f t="shared" si="15"/>
        <v>0</v>
      </c>
      <c r="F31" s="55">
        <f t="shared" si="15"/>
        <v>0</v>
      </c>
      <c r="G31" s="55">
        <f t="shared" si="15"/>
        <v>0</v>
      </c>
      <c r="H31" s="55">
        <f t="shared" si="15"/>
        <v>0</v>
      </c>
      <c r="I31" s="55">
        <f t="shared" si="15"/>
        <v>0</v>
      </c>
      <c r="J31" s="55">
        <f t="shared" si="15"/>
        <v>0</v>
      </c>
      <c r="K31" s="55">
        <f t="shared" si="15"/>
        <v>0</v>
      </c>
      <c r="L31" s="55">
        <f t="shared" si="15"/>
        <v>0</v>
      </c>
      <c r="M31" s="55">
        <f t="shared" si="15"/>
        <v>0</v>
      </c>
      <c r="N31" s="55">
        <f t="shared" si="15"/>
        <v>0</v>
      </c>
      <c r="O31" s="55">
        <f t="shared" si="15"/>
        <v>0</v>
      </c>
      <c r="P31" s="55">
        <f t="shared" si="15"/>
        <v>0</v>
      </c>
      <c r="Q31" s="55">
        <f t="shared" si="15"/>
        <v>0</v>
      </c>
      <c r="R31" s="55">
        <f t="shared" si="15"/>
        <v>0</v>
      </c>
      <c r="S31" s="55">
        <f t="shared" si="15"/>
        <v>56</v>
      </c>
      <c r="T31" s="55">
        <f t="shared" si="15"/>
        <v>0</v>
      </c>
      <c r="U31" s="55"/>
    </row>
    <row r="32" spans="1:21" ht="15" thickBot="1" x14ac:dyDescent="0.35">
      <c r="B32" s="144"/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R33" si="16">SUM(D22:D30)+D20+D18</f>
        <v>0</v>
      </c>
      <c r="E33" s="58">
        <f t="shared" si="16"/>
        <v>0</v>
      </c>
      <c r="F33" s="58">
        <f t="shared" si="16"/>
        <v>0</v>
      </c>
      <c r="G33" s="58">
        <f t="shared" si="16"/>
        <v>0</v>
      </c>
      <c r="H33" s="58">
        <f t="shared" si="16"/>
        <v>0</v>
      </c>
      <c r="I33" s="58">
        <f t="shared" si="16"/>
        <v>0</v>
      </c>
      <c r="J33" s="58">
        <f t="shared" si="16"/>
        <v>0</v>
      </c>
      <c r="K33" s="58">
        <f t="shared" si="16"/>
        <v>0</v>
      </c>
      <c r="L33" s="58">
        <f t="shared" si="16"/>
        <v>0</v>
      </c>
      <c r="M33" s="58">
        <f t="shared" si="16"/>
        <v>0</v>
      </c>
      <c r="N33" s="58">
        <f t="shared" si="16"/>
        <v>0</v>
      </c>
      <c r="O33" s="58">
        <f t="shared" si="16"/>
        <v>0</v>
      </c>
      <c r="P33" s="58">
        <f t="shared" si="16"/>
        <v>0</v>
      </c>
      <c r="Q33" s="58">
        <f t="shared" si="16"/>
        <v>0</v>
      </c>
      <c r="R33" s="58">
        <f t="shared" si="16"/>
        <v>0</v>
      </c>
      <c r="S33" s="58">
        <f>SUM(S22:S30)+S20+S18</f>
        <v>58</v>
      </c>
      <c r="T33" s="57">
        <f>SUM(T22:T30)+T22+T18</f>
        <v>0</v>
      </c>
      <c r="U33" s="57"/>
    </row>
    <row r="34" spans="1:21" ht="15" thickBot="1" x14ac:dyDescent="0.35">
      <c r="B34" s="144"/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4">
        <f>'KW 2'!S35</f>
        <v>1496</v>
      </c>
      <c r="P35" s="1" t="s">
        <v>107</v>
      </c>
      <c r="Q35" s="106"/>
      <c r="R35" s="107"/>
      <c r="S35" s="145">
        <f t="shared" ref="S35" si="17">B35+Q35-R35</f>
        <v>1496</v>
      </c>
    </row>
    <row r="36" spans="1:21" ht="15" thickBot="1" x14ac:dyDescent="0.35">
      <c r="B36" s="144"/>
      <c r="P36" s="1" t="s">
        <v>108</v>
      </c>
      <c r="Q36" s="103">
        <f>Q33+Q35</f>
        <v>0</v>
      </c>
      <c r="R36" s="104">
        <f t="shared" ref="R36:S36" si="18">R33+R35</f>
        <v>0</v>
      </c>
      <c r="S36" s="105">
        <f t="shared" si="18"/>
        <v>1554</v>
      </c>
    </row>
    <row r="37" spans="1:21" ht="15" thickTop="1" x14ac:dyDescent="0.3">
      <c r="B37" s="144"/>
    </row>
  </sheetData>
  <sheetProtection selectLockedCells="1"/>
  <mergeCells count="5">
    <mergeCell ref="U3:U4"/>
    <mergeCell ref="A3:A4"/>
    <mergeCell ref="B3:B4"/>
    <mergeCell ref="S3:S4"/>
    <mergeCell ref="T3:T4"/>
  </mergeCells>
  <conditionalFormatting sqref="I5:P7 M9:P10">
    <cfRule type="expression" dxfId="728" priority="20">
      <formula>Wochetag($C$3:$P$3,2)&gt;5</formula>
    </cfRule>
  </conditionalFormatting>
  <conditionalFormatting sqref="K25:L25 K29:L29">
    <cfRule type="expression" dxfId="727" priority="19">
      <formula>Wochetag($C$3:$P$3,2)&gt;5</formula>
    </cfRule>
  </conditionalFormatting>
  <conditionalFormatting sqref="C25:J25 C29:J29">
    <cfRule type="expression" dxfId="726" priority="18">
      <formula>Wochetag($C$3:$P$3,2)&gt;5</formula>
    </cfRule>
  </conditionalFormatting>
  <conditionalFormatting sqref="M29:P29">
    <cfRule type="expression" dxfId="725" priority="17">
      <formula>Wochetag($C$3:$P$3,2)&gt;5</formula>
    </cfRule>
  </conditionalFormatting>
  <conditionalFormatting sqref="M11:P11">
    <cfRule type="expression" dxfId="724" priority="16">
      <formula>Wochetag($C$3:$P$3,2)&gt;5</formula>
    </cfRule>
  </conditionalFormatting>
  <conditionalFormatting sqref="K9:L12">
    <cfRule type="expression" dxfId="723" priority="15">
      <formula>Wochetag($C$3:$P$3,2)&gt;5</formula>
    </cfRule>
  </conditionalFormatting>
  <conditionalFormatting sqref="I14:L15">
    <cfRule type="expression" dxfId="722" priority="14">
      <formula>Wochetag($C$3:$P$3,2)&gt;5</formula>
    </cfRule>
  </conditionalFormatting>
  <conditionalFormatting sqref="C17:L17">
    <cfRule type="expression" dxfId="721" priority="13">
      <formula>Wochetag($C$3:$P$3,2)&gt;5</formula>
    </cfRule>
  </conditionalFormatting>
  <conditionalFormatting sqref="I20:L20">
    <cfRule type="expression" dxfId="720" priority="12">
      <formula>Wochetag($C$3:$P$3,2)&gt;5</formula>
    </cfRule>
  </conditionalFormatting>
  <conditionalFormatting sqref="I22:L24">
    <cfRule type="expression" dxfId="719" priority="11">
      <formula>Wochetag($C$3:$P$3,2)&gt;5</formula>
    </cfRule>
  </conditionalFormatting>
  <conditionalFormatting sqref="I26:L28">
    <cfRule type="expression" dxfId="718" priority="10">
      <formula>Wochetag($C$3:$P$3,2)&gt;5</formula>
    </cfRule>
  </conditionalFormatting>
  <conditionalFormatting sqref="I30:L30">
    <cfRule type="expression" dxfId="717" priority="9">
      <formula>Wochetag($C$3:$P$3,2)&gt;5</formula>
    </cfRule>
  </conditionalFormatting>
  <conditionalFormatting sqref="C5:H7">
    <cfRule type="expression" dxfId="716" priority="8">
      <formula>Wochetag($C$3:$P$3,2)&gt;5</formula>
    </cfRule>
  </conditionalFormatting>
  <conditionalFormatting sqref="C9:J12">
    <cfRule type="expression" dxfId="715" priority="7">
      <formula>Wochetag($C$3:$P$3,2)&gt;5</formula>
    </cfRule>
  </conditionalFormatting>
  <conditionalFormatting sqref="C14:H14">
    <cfRule type="expression" dxfId="714" priority="6">
      <formula>Wochetag($C$3:$P$3,2)&gt;5</formula>
    </cfRule>
  </conditionalFormatting>
  <conditionalFormatting sqref="C15:H15">
    <cfRule type="expression" dxfId="713" priority="5">
      <formula>Wochetag($C$3:$P$3,2)&gt;5</formula>
    </cfRule>
  </conditionalFormatting>
  <conditionalFormatting sqref="C26:H28">
    <cfRule type="expression" dxfId="712" priority="4">
      <formula>Wochetag($C$3:$P$3,2)&gt;5</formula>
    </cfRule>
  </conditionalFormatting>
  <conditionalFormatting sqref="C30:H30">
    <cfRule type="expression" dxfId="711" priority="3">
      <formula>Wochetag($C$3:$P$3,2)&gt;5</formula>
    </cfRule>
  </conditionalFormatting>
  <conditionalFormatting sqref="C22:H24">
    <cfRule type="expression" dxfId="710" priority="2">
      <formula>Wochetag($C$3:$P$3,2)&gt;5</formula>
    </cfRule>
  </conditionalFormatting>
  <conditionalFormatting sqref="C20:H20">
    <cfRule type="expression" dxfId="709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U37"/>
  <sheetViews>
    <sheetView topLeftCell="A10" zoomScale="90" zoomScaleNormal="90" workbookViewId="0">
      <selection activeCell="P35" sqref="P35:P36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2" customWidth="1"/>
    <col min="3" max="16" width="10.77734375" style="2" customWidth="1"/>
    <col min="17" max="18" width="9.6640625" style="2" customWidth="1"/>
    <col min="19" max="16384" width="10.5546875" style="2"/>
  </cols>
  <sheetData>
    <row r="1" spans="1:21" x14ac:dyDescent="0.3">
      <c r="A1" s="6"/>
      <c r="B1" s="12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B2" s="13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77" t="s">
        <v>20</v>
      </c>
      <c r="B3" s="177" t="s">
        <v>21</v>
      </c>
      <c r="C3" s="91">
        <f>'KW 1'!$C$3+21</f>
        <v>44221</v>
      </c>
      <c r="D3" s="92">
        <f>C3</f>
        <v>44221</v>
      </c>
      <c r="E3" s="91">
        <f>C3+1</f>
        <v>44222</v>
      </c>
      <c r="F3" s="92">
        <f>E3</f>
        <v>44222</v>
      </c>
      <c r="G3" s="91">
        <f>C3+2</f>
        <v>44223</v>
      </c>
      <c r="H3" s="92">
        <f>G3</f>
        <v>44223</v>
      </c>
      <c r="I3" s="91">
        <f>C3+3</f>
        <v>44224</v>
      </c>
      <c r="J3" s="92">
        <f>I3</f>
        <v>44224</v>
      </c>
      <c r="K3" s="91">
        <f>C3+4</f>
        <v>44225</v>
      </c>
      <c r="L3" s="92">
        <f>K3</f>
        <v>44225</v>
      </c>
      <c r="M3" s="91">
        <f>C3+5</f>
        <v>44226</v>
      </c>
      <c r="N3" s="92">
        <f>M3</f>
        <v>44226</v>
      </c>
      <c r="O3" s="91">
        <f>C3+6</f>
        <v>44227</v>
      </c>
      <c r="P3" s="92">
        <f>O3</f>
        <v>44227</v>
      </c>
      <c r="Q3" s="14" t="s">
        <v>0</v>
      </c>
      <c r="R3" s="15" t="s">
        <v>0</v>
      </c>
      <c r="S3" s="177" t="s">
        <v>1</v>
      </c>
      <c r="T3" s="177" t="s">
        <v>2</v>
      </c>
      <c r="U3" s="175" t="s">
        <v>4</v>
      </c>
    </row>
    <row r="4" spans="1:21" ht="15" thickBot="1" x14ac:dyDescent="0.35">
      <c r="A4" s="178"/>
      <c r="B4" s="178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76"/>
    </row>
    <row r="5" spans="1:21" x14ac:dyDescent="0.3">
      <c r="A5" s="19" t="str">
        <f>Start!A5</f>
        <v>Postbearbeitung Bestand</v>
      </c>
      <c r="B5" s="134">
        <f>'KW 3'!S5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5">
        <f>'KW 3'!S6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6">
        <f>'KW 3'!S7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5">
        <f>'KW 3'!S9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5">
        <f>'KW 3'!S10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5">
        <f>'KW 3'!S11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5">
        <f>'KW 3'!S12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5">
        <f>'KW 3'!S14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" thickBot="1" x14ac:dyDescent="0.35">
      <c r="A15" s="29" t="str">
        <f>Start!A15</f>
        <v>Einfachaufträge</v>
      </c>
      <c r="B15" s="135">
        <f>'KW 3'!S15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5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5">
        <f>'KW 3'!S17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39">
        <f>'KW 3'!S20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5">
        <f>'KW 3'!S22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5">
        <f>'KW 3'!S23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5">
        <f>'KW 3'!S24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4">
        <f>'KW 3'!S26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5">
        <f>'KW 3'!S27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6">
        <f>'KW 3'!S28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39">
        <f>'KW 3'!S30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B32" s="144"/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B34" s="144"/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4">
        <f>'KW 3'!S35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708" priority="12">
      <formula>Wochetag($C$3:$P$3,2)&gt;5</formula>
    </cfRule>
  </conditionalFormatting>
  <conditionalFormatting sqref="K25:L25 K29:L29">
    <cfRule type="expression" dxfId="707" priority="11">
      <formula>Wochetag($C$3:$P$3,2)&gt;5</formula>
    </cfRule>
  </conditionalFormatting>
  <conditionalFormatting sqref="C25:J25 C29:J29">
    <cfRule type="expression" dxfId="706" priority="10">
      <formula>Wochetag($C$3:$P$3,2)&gt;5</formula>
    </cfRule>
  </conditionalFormatting>
  <conditionalFormatting sqref="M29:P29">
    <cfRule type="expression" dxfId="705" priority="9">
      <formula>Wochetag($C$3:$P$3,2)&gt;5</formula>
    </cfRule>
  </conditionalFormatting>
  <conditionalFormatting sqref="M11:P11">
    <cfRule type="expression" dxfId="704" priority="8">
      <formula>Wochetag($C$3:$P$3,2)&gt;5</formula>
    </cfRule>
  </conditionalFormatting>
  <conditionalFormatting sqref="C9:L12">
    <cfRule type="expression" dxfId="703" priority="7">
      <formula>Wochetag($C$3:$P$3,2)&gt;5</formula>
    </cfRule>
  </conditionalFormatting>
  <conditionalFormatting sqref="C14:L15">
    <cfRule type="expression" dxfId="702" priority="6">
      <formula>Wochetag($C$3:$P$3,2)&gt;5</formula>
    </cfRule>
  </conditionalFormatting>
  <conditionalFormatting sqref="C17:L17">
    <cfRule type="expression" dxfId="701" priority="5">
      <formula>Wochetag($C$3:$P$3,2)&gt;5</formula>
    </cfRule>
  </conditionalFormatting>
  <conditionalFormatting sqref="C20:L20">
    <cfRule type="expression" dxfId="700" priority="4">
      <formula>Wochetag($C$3:$P$3,2)&gt;5</formula>
    </cfRule>
  </conditionalFormatting>
  <conditionalFormatting sqref="C22:L24">
    <cfRule type="expression" dxfId="699" priority="3">
      <formula>Wochetag($C$3:$P$3,2)&gt;5</formula>
    </cfRule>
  </conditionalFormatting>
  <conditionalFormatting sqref="C26:L28">
    <cfRule type="expression" dxfId="698" priority="2">
      <formula>Wochetag($C$3:$P$3,2)&gt;5</formula>
    </cfRule>
  </conditionalFormatting>
  <conditionalFormatting sqref="C30:L30">
    <cfRule type="expression" dxfId="697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U37"/>
  <sheetViews>
    <sheetView topLeftCell="A13" zoomScale="90" zoomScaleNormal="90" workbookViewId="0">
      <selection activeCell="L36" sqref="L36"/>
    </sheetView>
  </sheetViews>
  <sheetFormatPr baseColWidth="10" defaultColWidth="10.5546875" defaultRowHeight="14.4" x14ac:dyDescent="0.3"/>
  <cols>
    <col min="1" max="1" width="21.44140625" style="2" bestFit="1" customWidth="1"/>
    <col min="2" max="2" width="9.44140625" style="2" customWidth="1"/>
    <col min="3" max="16" width="10.77734375" style="2" customWidth="1"/>
    <col min="17" max="18" width="9.6640625" style="2" customWidth="1"/>
    <col min="19" max="16384" width="10.5546875" style="2"/>
  </cols>
  <sheetData>
    <row r="1" spans="1:21" x14ac:dyDescent="0.3">
      <c r="A1" s="6"/>
      <c r="B1" s="12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B2" s="13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77" t="s">
        <v>20</v>
      </c>
      <c r="B3" s="177" t="s">
        <v>21</v>
      </c>
      <c r="C3" s="91">
        <f>'KW 1'!$C$3+28</f>
        <v>44228</v>
      </c>
      <c r="D3" s="92">
        <f>C3</f>
        <v>44228</v>
      </c>
      <c r="E3" s="91">
        <f>C3+1</f>
        <v>44229</v>
      </c>
      <c r="F3" s="92">
        <f>E3</f>
        <v>44229</v>
      </c>
      <c r="G3" s="91">
        <f>C3+2</f>
        <v>44230</v>
      </c>
      <c r="H3" s="92">
        <f>G3</f>
        <v>44230</v>
      </c>
      <c r="I3" s="91">
        <f>C3+3</f>
        <v>44231</v>
      </c>
      <c r="J3" s="92">
        <f>I3</f>
        <v>44231</v>
      </c>
      <c r="K3" s="91">
        <f>C3+4</f>
        <v>44232</v>
      </c>
      <c r="L3" s="92">
        <f>K3</f>
        <v>44232</v>
      </c>
      <c r="M3" s="91">
        <f>C3+5</f>
        <v>44233</v>
      </c>
      <c r="N3" s="92">
        <f>M3</f>
        <v>44233</v>
      </c>
      <c r="O3" s="91">
        <f>C3+6</f>
        <v>44234</v>
      </c>
      <c r="P3" s="92">
        <f>O3</f>
        <v>44234</v>
      </c>
      <c r="Q3" s="14" t="s">
        <v>0</v>
      </c>
      <c r="R3" s="15" t="s">
        <v>0</v>
      </c>
      <c r="S3" s="177" t="s">
        <v>1</v>
      </c>
      <c r="T3" s="177" t="s">
        <v>2</v>
      </c>
      <c r="U3" s="175" t="s">
        <v>4</v>
      </c>
    </row>
    <row r="4" spans="1:21" ht="15" thickBot="1" x14ac:dyDescent="0.35">
      <c r="A4" s="178"/>
      <c r="B4" s="178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76"/>
    </row>
    <row r="5" spans="1:21" x14ac:dyDescent="0.3">
      <c r="A5" s="19" t="str">
        <f>Start!A5</f>
        <v>Postbearbeitung Bestand</v>
      </c>
      <c r="B5" s="134">
        <f>'KW 4'!S5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5">
        <f>'KW 4'!S6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6">
        <f>'KW 4'!S7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5">
        <f>'KW 4'!S9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5">
        <f>'KW 4'!S10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5">
        <f>'KW 4'!S11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5">
        <f>'KW 4'!S12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5">
        <f>'KW 4'!S14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6.350000000000001" customHeight="1" thickBot="1" x14ac:dyDescent="0.35">
      <c r="A15" s="29" t="str">
        <f>Start!A15</f>
        <v>Einfachaufträge</v>
      </c>
      <c r="B15" s="135">
        <f>'KW 4'!S15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5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5">
        <f>'KW 4'!S17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39">
        <f>'KW 4'!S20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4">
        <f>'KW 4'!S22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5">
        <f>'KW 4'!S23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6">
        <f>'KW 4'!S24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4">
        <f>'KW 4'!S26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5">
        <f>'KW 4'!S27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6">
        <f>'KW 4'!S28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39">
        <f>'KW 4'!S30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B32" s="144"/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58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B34" s="144"/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4">
        <f>'KW 4'!S35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/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696" priority="12">
      <formula>Wochetag($C$3:$P$3,2)&gt;5</formula>
    </cfRule>
  </conditionalFormatting>
  <conditionalFormatting sqref="K25:L25 K29:L29">
    <cfRule type="expression" dxfId="695" priority="11">
      <formula>Wochetag($C$3:$P$3,2)&gt;5</formula>
    </cfRule>
  </conditionalFormatting>
  <conditionalFormatting sqref="C25:J25 C29:J29">
    <cfRule type="expression" dxfId="694" priority="10">
      <formula>Wochetag($C$3:$P$3,2)&gt;5</formula>
    </cfRule>
  </conditionalFormatting>
  <conditionalFormatting sqref="M29:P29">
    <cfRule type="expression" dxfId="693" priority="9">
      <formula>Wochetag($C$3:$P$3,2)&gt;5</formula>
    </cfRule>
  </conditionalFormatting>
  <conditionalFormatting sqref="M11:P11">
    <cfRule type="expression" dxfId="692" priority="8">
      <formula>Wochetag($C$3:$P$3,2)&gt;5</formula>
    </cfRule>
  </conditionalFormatting>
  <conditionalFormatting sqref="C9:L12">
    <cfRule type="expression" dxfId="691" priority="7">
      <formula>Wochetag($C$3:$P$3,2)&gt;5</formula>
    </cfRule>
  </conditionalFormatting>
  <conditionalFormatting sqref="C14:L15">
    <cfRule type="expression" dxfId="690" priority="6">
      <formula>Wochetag($C$3:$P$3,2)&gt;5</formula>
    </cfRule>
  </conditionalFormatting>
  <conditionalFormatting sqref="C17:L17">
    <cfRule type="expression" dxfId="689" priority="5">
      <formula>Wochetag($C$3:$P$3,2)&gt;5</formula>
    </cfRule>
  </conditionalFormatting>
  <conditionalFormatting sqref="C20:L20">
    <cfRule type="expression" dxfId="688" priority="4">
      <formula>Wochetag($C$3:$P$3,2)&gt;5</formula>
    </cfRule>
  </conditionalFormatting>
  <conditionalFormatting sqref="C22:L24">
    <cfRule type="expression" dxfId="687" priority="3">
      <formula>Wochetag($C$3:$P$3,2)&gt;5</formula>
    </cfRule>
  </conditionalFormatting>
  <conditionalFormatting sqref="C26:L28">
    <cfRule type="expression" dxfId="686" priority="2">
      <formula>Wochetag($C$3:$P$3,2)&gt;5</formula>
    </cfRule>
  </conditionalFormatting>
  <conditionalFormatting sqref="C30:L30">
    <cfRule type="expression" dxfId="685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U37"/>
  <sheetViews>
    <sheetView zoomScale="99" zoomScaleNormal="99" workbookViewId="0"/>
  </sheetViews>
  <sheetFormatPr baseColWidth="10" defaultColWidth="10.5546875" defaultRowHeight="14.4" x14ac:dyDescent="0.3"/>
  <cols>
    <col min="1" max="1" width="21.44140625" style="2" bestFit="1" customWidth="1"/>
    <col min="2" max="2" width="9.44140625" style="2" customWidth="1"/>
    <col min="3" max="16" width="10.77734375" style="2" customWidth="1"/>
    <col min="17" max="18" width="9.77734375" style="2" customWidth="1"/>
    <col min="19" max="16384" width="10.5546875" style="2"/>
  </cols>
  <sheetData>
    <row r="1" spans="1:21" x14ac:dyDescent="0.3">
      <c r="A1" s="6"/>
      <c r="B1" s="12"/>
      <c r="C1" s="2" t="str">
        <f>IF(C2=Start!$B$1,"",IF(C2&lt;Start!$B$1,"altes Jahr",IF(C2&gt;Start!$B$1,"neues Jahr")))</f>
        <v/>
      </c>
      <c r="E1" s="2" t="str">
        <f>IF(E2=Start!$B$1,"",IF(E2&lt;Start!$B$1,"altes Jahr",IF(E2&gt;Start!$B$1,"neues Jahr")))</f>
        <v/>
      </c>
      <c r="G1" s="2" t="str">
        <f>IF(G2=Start!$B$1,"",IF(G2&lt;Start!$B$1,"altes Jahr",IF(G2&gt;Start!$B$1,"neues Jahr")))</f>
        <v/>
      </c>
      <c r="I1" s="2" t="str">
        <f>IF(I2=Start!$B$1,"",IF(I2&lt;Start!$B$1,"altes Jahr",IF(I2&gt;Start!$B$1,"neues Jahr")))</f>
        <v/>
      </c>
      <c r="K1" s="2" t="str">
        <f>IF(K2=Start!$B$1,"",IF(K2&lt;Start!$B$1,"altes Jahr",IF(K2&gt;Start!$B$1,"neues Jahr")))</f>
        <v/>
      </c>
      <c r="M1" s="2" t="str">
        <f>IF(M2=Start!$B$1,"",IF(M2&lt;Start!$B$1,"altes Jahr",IF(M2&gt;Start!$B$1,"neues Jahr")))</f>
        <v/>
      </c>
      <c r="O1" s="2" t="str">
        <f>IF(O2=Start!$B$1,"",IF(O2&lt;Start!$B$1,"altes Jahr",IF(O2&gt;Start!$B$1,"neues Jahr")))</f>
        <v/>
      </c>
    </row>
    <row r="2" spans="1:21" ht="15" thickBot="1" x14ac:dyDescent="0.35">
      <c r="A2" s="6"/>
      <c r="B2" s="13"/>
      <c r="C2" s="122">
        <f>YEAR(C3)</f>
        <v>2021</v>
      </c>
      <c r="D2" s="119" t="str">
        <f>IFERROR(VLOOKUP(C3,Start!$F$2:$G$22,2,0),"")</f>
        <v/>
      </c>
      <c r="E2" s="122">
        <f>YEAR(E3)</f>
        <v>2021</v>
      </c>
      <c r="F2" s="119" t="str">
        <f>IFERROR(VLOOKUP(E3,Start!$F$2:$G$22,2,0),"")</f>
        <v/>
      </c>
      <c r="G2" s="122">
        <f>YEAR(G3)</f>
        <v>2021</v>
      </c>
      <c r="H2" s="119" t="str">
        <f>IFERROR(VLOOKUP(G3,Start!$F$2:$G$22,2,0),"")</f>
        <v/>
      </c>
      <c r="I2" s="122">
        <f>YEAR(I3)</f>
        <v>2021</v>
      </c>
      <c r="J2" s="119" t="str">
        <f>IFERROR(VLOOKUP(I3,Start!$F$2:$G$22,2,0),"")</f>
        <v/>
      </c>
      <c r="K2" s="122">
        <f>YEAR(K3)</f>
        <v>2021</v>
      </c>
      <c r="L2" s="119" t="str">
        <f>IFERROR(VLOOKUP(K3,Start!$F$2:$G$22,2,0),"")</f>
        <v/>
      </c>
      <c r="M2" s="122">
        <f>YEAR(M3)</f>
        <v>2021</v>
      </c>
      <c r="N2" s="119" t="str">
        <f>IFERROR(VLOOKUP(M3,Start!$F$2:$G$22,2,0),"")</f>
        <v/>
      </c>
      <c r="O2" s="122">
        <f>YEAR(O3)</f>
        <v>2021</v>
      </c>
      <c r="P2" s="119" t="str">
        <f>IFERROR(VLOOKUP(O3,Start!$F$2:$G$22,2,0),"")</f>
        <v/>
      </c>
    </row>
    <row r="3" spans="1:21" ht="15" thickBot="1" x14ac:dyDescent="0.35">
      <c r="A3" s="177" t="s">
        <v>20</v>
      </c>
      <c r="B3" s="177" t="s">
        <v>21</v>
      </c>
      <c r="C3" s="91">
        <f>'KW 1'!$C$3+35</f>
        <v>44235</v>
      </c>
      <c r="D3" s="92">
        <f>C3</f>
        <v>44235</v>
      </c>
      <c r="E3" s="91">
        <f>C3+1</f>
        <v>44236</v>
      </c>
      <c r="F3" s="92">
        <f>E3</f>
        <v>44236</v>
      </c>
      <c r="G3" s="91">
        <f>C3+2</f>
        <v>44237</v>
      </c>
      <c r="H3" s="92">
        <f>G3</f>
        <v>44237</v>
      </c>
      <c r="I3" s="91">
        <f>C3+3</f>
        <v>44238</v>
      </c>
      <c r="J3" s="92">
        <f>I3</f>
        <v>44238</v>
      </c>
      <c r="K3" s="91">
        <f>C3+4</f>
        <v>44239</v>
      </c>
      <c r="L3" s="92">
        <f>K3</f>
        <v>44239</v>
      </c>
      <c r="M3" s="91">
        <f>C3+5</f>
        <v>44240</v>
      </c>
      <c r="N3" s="92">
        <f>M3</f>
        <v>44240</v>
      </c>
      <c r="O3" s="91">
        <f>C3+6</f>
        <v>44241</v>
      </c>
      <c r="P3" s="92">
        <f>O3</f>
        <v>44241</v>
      </c>
      <c r="Q3" s="14" t="s">
        <v>0</v>
      </c>
      <c r="R3" s="15" t="s">
        <v>0</v>
      </c>
      <c r="S3" s="177" t="s">
        <v>1</v>
      </c>
      <c r="T3" s="177" t="s">
        <v>2</v>
      </c>
      <c r="U3" s="175" t="s">
        <v>4</v>
      </c>
    </row>
    <row r="4" spans="1:21" ht="15" thickBot="1" x14ac:dyDescent="0.35">
      <c r="A4" s="178"/>
      <c r="B4" s="178"/>
      <c r="C4" s="16" t="s">
        <v>5</v>
      </c>
      <c r="D4" s="17" t="s">
        <v>6</v>
      </c>
      <c r="E4" s="17" t="s">
        <v>5</v>
      </c>
      <c r="F4" s="17" t="s">
        <v>6</v>
      </c>
      <c r="G4" s="17" t="s">
        <v>5</v>
      </c>
      <c r="H4" s="17" t="s">
        <v>6</v>
      </c>
      <c r="I4" s="17" t="s">
        <v>5</v>
      </c>
      <c r="J4" s="17" t="s">
        <v>6</v>
      </c>
      <c r="K4" s="17" t="s">
        <v>5</v>
      </c>
      <c r="L4" s="17" t="s">
        <v>6</v>
      </c>
      <c r="M4" s="17" t="s">
        <v>5</v>
      </c>
      <c r="N4" s="17" t="s">
        <v>6</v>
      </c>
      <c r="O4" s="17" t="s">
        <v>5</v>
      </c>
      <c r="P4" s="17" t="s">
        <v>6</v>
      </c>
      <c r="Q4" s="17" t="s">
        <v>5</v>
      </c>
      <c r="R4" s="18" t="s">
        <v>6</v>
      </c>
      <c r="S4" s="178"/>
      <c r="T4" s="178"/>
      <c r="U4" s="176"/>
    </row>
    <row r="5" spans="1:21" x14ac:dyDescent="0.3">
      <c r="A5" s="19" t="str">
        <f>Start!A5</f>
        <v>Postbearbeitung Bestand</v>
      </c>
      <c r="B5" s="134">
        <f>'KW 5'!S5</f>
        <v>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20"/>
      <c r="N5" s="20"/>
      <c r="O5" s="20"/>
      <c r="P5" s="20"/>
      <c r="Q5" s="21">
        <f>C5+E5+G5+I5+K5+M5+O5</f>
        <v>0</v>
      </c>
      <c r="R5" s="21">
        <f>D5+F5+H5+J5+L5+N5+P5</f>
        <v>0</v>
      </c>
      <c r="S5" s="22">
        <f>B5+Q5-R5</f>
        <v>0</v>
      </c>
      <c r="T5" s="22">
        <f>R5/5</f>
        <v>0</v>
      </c>
      <c r="U5" s="23">
        <f t="shared" ref="U5:U30" si="0">Q5/5</f>
        <v>0</v>
      </c>
    </row>
    <row r="6" spans="1:21" x14ac:dyDescent="0.3">
      <c r="A6" s="24" t="str">
        <f>Start!A6</f>
        <v>Mailbox</v>
      </c>
      <c r="B6" s="135">
        <f>'KW 5'!S6</f>
        <v>0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25"/>
      <c r="N6" s="25"/>
      <c r="O6" s="25"/>
      <c r="P6" s="25"/>
      <c r="Q6" s="26">
        <f t="shared" ref="Q6:R7" si="1">C6+E6+G6+I6+K6+M6+O6</f>
        <v>0</v>
      </c>
      <c r="R6" s="26">
        <f t="shared" si="1"/>
        <v>0</v>
      </c>
      <c r="S6" s="27">
        <f t="shared" ref="S6:S12" si="2">B6+Q6-R6</f>
        <v>0</v>
      </c>
      <c r="T6" s="27">
        <f t="shared" ref="T6:T7" si="3">R6/5</f>
        <v>0</v>
      </c>
      <c r="U6" s="28">
        <f t="shared" si="0"/>
        <v>0</v>
      </c>
    </row>
    <row r="7" spans="1:21" ht="15" thickBot="1" x14ac:dyDescent="0.35">
      <c r="A7" s="29" t="str">
        <f>Start!A7</f>
        <v>Eilige</v>
      </c>
      <c r="B7" s="136">
        <f>'KW 5'!S7</f>
        <v>0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30"/>
      <c r="N7" s="30"/>
      <c r="O7" s="30"/>
      <c r="P7" s="30"/>
      <c r="Q7" s="31">
        <f t="shared" si="1"/>
        <v>0</v>
      </c>
      <c r="R7" s="31">
        <f t="shared" si="1"/>
        <v>0</v>
      </c>
      <c r="S7" s="32">
        <f t="shared" si="2"/>
        <v>0</v>
      </c>
      <c r="T7" s="32">
        <f t="shared" si="3"/>
        <v>0</v>
      </c>
      <c r="U7" s="33">
        <f t="shared" si="0"/>
        <v>0</v>
      </c>
    </row>
    <row r="8" spans="1:21" ht="7.35" customHeight="1" thickBot="1" x14ac:dyDescent="0.35">
      <c r="A8" s="34"/>
      <c r="B8" s="137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15"/>
    </row>
    <row r="9" spans="1:21" x14ac:dyDescent="0.3">
      <c r="A9" s="19" t="str">
        <f>Start!A9</f>
        <v>OVE Abfragen</v>
      </c>
      <c r="B9" s="135">
        <f>'KW 5'!S9</f>
        <v>0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20"/>
      <c r="N9" s="20"/>
      <c r="O9" s="20"/>
      <c r="P9" s="20"/>
      <c r="Q9" s="21">
        <f t="shared" ref="Q9:R12" si="4">C9+E9+G9+I9+K9+M9+O9</f>
        <v>0</v>
      </c>
      <c r="R9" s="21">
        <f t="shared" si="4"/>
        <v>0</v>
      </c>
      <c r="S9" s="22">
        <f t="shared" si="2"/>
        <v>0</v>
      </c>
      <c r="T9" s="22">
        <f t="shared" ref="T9:T17" si="5">R9/5</f>
        <v>0</v>
      </c>
      <c r="U9" s="23">
        <f t="shared" si="0"/>
        <v>0</v>
      </c>
    </row>
    <row r="10" spans="1:21" x14ac:dyDescent="0.3">
      <c r="A10" s="24" t="str">
        <f>Start!A10</f>
        <v xml:space="preserve">   Buchungen</v>
      </c>
      <c r="B10" s="135">
        <f>'KW 5'!S10</f>
        <v>0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25"/>
      <c r="N10" s="25"/>
      <c r="O10" s="25"/>
      <c r="P10" s="25"/>
      <c r="Q10" s="26">
        <f t="shared" si="4"/>
        <v>0</v>
      </c>
      <c r="R10" s="26">
        <f t="shared" si="4"/>
        <v>0</v>
      </c>
      <c r="S10" s="27">
        <f t="shared" si="2"/>
        <v>0</v>
      </c>
      <c r="T10" s="27">
        <f t="shared" si="5"/>
        <v>0</v>
      </c>
      <c r="U10" s="28">
        <f t="shared" si="0"/>
        <v>0</v>
      </c>
    </row>
    <row r="11" spans="1:21" x14ac:dyDescent="0.3">
      <c r="A11" s="24" t="str">
        <f>Start!A11</f>
        <v>SB (Mietavale/StK)</v>
      </c>
      <c r="B11" s="135">
        <f>'KW 5'!S11</f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25"/>
      <c r="N11" s="25"/>
      <c r="O11" s="25"/>
      <c r="P11" s="25"/>
      <c r="Q11" s="26">
        <f t="shared" si="4"/>
        <v>0</v>
      </c>
      <c r="R11" s="26">
        <f t="shared" si="4"/>
        <v>0</v>
      </c>
      <c r="S11" s="27">
        <f t="shared" si="2"/>
        <v>2</v>
      </c>
      <c r="T11" s="27">
        <f t="shared" si="5"/>
        <v>0</v>
      </c>
      <c r="U11" s="28">
        <f t="shared" si="0"/>
        <v>0</v>
      </c>
    </row>
    <row r="12" spans="1:21" ht="15" customHeight="1" thickBot="1" x14ac:dyDescent="0.35">
      <c r="A12" s="29" t="str">
        <f>Start!A12</f>
        <v>neue Mietavale</v>
      </c>
      <c r="B12" s="135">
        <f>'KW 5'!S12</f>
        <v>0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30"/>
      <c r="N12" s="30"/>
      <c r="O12" s="30"/>
      <c r="P12" s="30"/>
      <c r="Q12" s="31">
        <f t="shared" si="4"/>
        <v>0</v>
      </c>
      <c r="R12" s="31">
        <f t="shared" si="4"/>
        <v>0</v>
      </c>
      <c r="S12" s="32">
        <f t="shared" si="2"/>
        <v>0</v>
      </c>
      <c r="T12" s="32">
        <f t="shared" si="5"/>
        <v>0</v>
      </c>
      <c r="U12" s="33">
        <f t="shared" si="0"/>
        <v>0</v>
      </c>
    </row>
    <row r="13" spans="1:21" ht="7.35" customHeight="1" thickBot="1" x14ac:dyDescent="0.35">
      <c r="A13" s="34"/>
      <c r="B13" s="138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5"/>
    </row>
    <row r="14" spans="1:21" x14ac:dyDescent="0.3">
      <c r="A14" s="19" t="str">
        <f>Start!A14</f>
        <v>Vorgängerinstitute</v>
      </c>
      <c r="B14" s="135">
        <f>'KW 5'!S14</f>
        <v>0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20"/>
      <c r="N14" s="20"/>
      <c r="O14" s="20"/>
      <c r="P14" s="20"/>
      <c r="Q14" s="21">
        <f t="shared" ref="Q14:R15" si="6">C14+E14+G14+I14+K14+M14+O14</f>
        <v>0</v>
      </c>
      <c r="R14" s="21">
        <f t="shared" si="6"/>
        <v>0</v>
      </c>
      <c r="S14" s="22">
        <f>B14+Q14-R14</f>
        <v>0</v>
      </c>
      <c r="T14" s="22">
        <f t="shared" si="5"/>
        <v>0</v>
      </c>
      <c r="U14" s="23">
        <f t="shared" si="0"/>
        <v>0</v>
      </c>
    </row>
    <row r="15" spans="1:21" ht="15" thickBot="1" x14ac:dyDescent="0.35">
      <c r="A15" s="29" t="str">
        <f>Start!A15</f>
        <v>Einfachaufträge</v>
      </c>
      <c r="B15" s="135">
        <f>'KW 5'!S15</f>
        <v>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30"/>
      <c r="N15" s="30"/>
      <c r="O15" s="30"/>
      <c r="P15" s="30"/>
      <c r="Q15" s="31">
        <f t="shared" si="6"/>
        <v>0</v>
      </c>
      <c r="R15" s="31">
        <f t="shared" si="6"/>
        <v>0</v>
      </c>
      <c r="S15" s="32">
        <f>B15+Q15-R15</f>
        <v>0</v>
      </c>
      <c r="T15" s="32">
        <f t="shared" si="5"/>
        <v>0</v>
      </c>
      <c r="U15" s="33">
        <f t="shared" si="0"/>
        <v>0</v>
      </c>
    </row>
    <row r="16" spans="1:21" ht="7.35" hidden="1" customHeight="1" thickBot="1" x14ac:dyDescent="0.35">
      <c r="A16" s="34"/>
      <c r="B16" s="138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5"/>
    </row>
    <row r="17" spans="1:21" ht="15" hidden="1" thickBot="1" x14ac:dyDescent="0.35">
      <c r="A17" s="41">
        <f>Start!A17</f>
        <v>0</v>
      </c>
      <c r="B17" s="135">
        <f>'KW 5'!S17</f>
        <v>0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42"/>
      <c r="N17" s="42"/>
      <c r="O17" s="42"/>
      <c r="P17" s="42"/>
      <c r="Q17" s="43">
        <f t="shared" ref="Q17:R17" si="7">C17+E17+G17+I17+K17+M17+O17</f>
        <v>0</v>
      </c>
      <c r="R17" s="43">
        <f t="shared" si="7"/>
        <v>0</v>
      </c>
      <c r="S17" s="44">
        <f>B17+Q17-R17</f>
        <v>0</v>
      </c>
      <c r="T17" s="44">
        <f t="shared" si="5"/>
        <v>0</v>
      </c>
      <c r="U17" s="46">
        <f t="shared" si="0"/>
        <v>0</v>
      </c>
    </row>
    <row r="18" spans="1:21" ht="15" thickBot="1" x14ac:dyDescent="0.35">
      <c r="A18" s="47" t="s">
        <v>13</v>
      </c>
      <c r="B18" s="48">
        <f>SUM(B5:B17)</f>
        <v>2</v>
      </c>
      <c r="C18" s="48">
        <f>SUM(C5:C17)</f>
        <v>0</v>
      </c>
      <c r="D18" s="48">
        <f t="shared" ref="D18:L18" si="8">SUM(D5:D17)</f>
        <v>0</v>
      </c>
      <c r="E18" s="48">
        <f t="shared" si="8"/>
        <v>0</v>
      </c>
      <c r="F18" s="48">
        <f t="shared" si="8"/>
        <v>0</v>
      </c>
      <c r="G18" s="48">
        <f t="shared" si="8"/>
        <v>0</v>
      </c>
      <c r="H18" s="48">
        <f t="shared" si="8"/>
        <v>0</v>
      </c>
      <c r="I18" s="48">
        <f t="shared" si="8"/>
        <v>0</v>
      </c>
      <c r="J18" s="48">
        <f t="shared" si="8"/>
        <v>0</v>
      </c>
      <c r="K18" s="48">
        <f t="shared" si="8"/>
        <v>0</v>
      </c>
      <c r="L18" s="48">
        <f t="shared" si="8"/>
        <v>0</v>
      </c>
      <c r="M18" s="48">
        <f t="shared" ref="M18:T18" si="9">SUM(M5:M17)</f>
        <v>0</v>
      </c>
      <c r="N18" s="48">
        <f t="shared" si="9"/>
        <v>0</v>
      </c>
      <c r="O18" s="48">
        <f t="shared" si="9"/>
        <v>0</v>
      </c>
      <c r="P18" s="48">
        <f t="shared" si="9"/>
        <v>0</v>
      </c>
      <c r="Q18" s="48">
        <f t="shared" si="9"/>
        <v>0</v>
      </c>
      <c r="R18" s="48">
        <f t="shared" si="9"/>
        <v>0</v>
      </c>
      <c r="S18" s="49">
        <f t="shared" si="9"/>
        <v>2</v>
      </c>
      <c r="T18" s="49">
        <f t="shared" si="9"/>
        <v>0</v>
      </c>
      <c r="U18" s="49"/>
    </row>
    <row r="19" spans="1:21" ht="15" thickBot="1" x14ac:dyDescent="0.35">
      <c r="A19" s="50"/>
      <c r="B19" s="144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2"/>
    </row>
    <row r="20" spans="1:21" ht="15" thickBot="1" x14ac:dyDescent="0.35">
      <c r="A20" s="41" t="str">
        <f>Start!A20</f>
        <v>Postbearbeitung</v>
      </c>
      <c r="B20" s="139">
        <f>'KW 5'!S20</f>
        <v>0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42"/>
      <c r="N20" s="42"/>
      <c r="O20" s="42"/>
      <c r="P20" s="42"/>
      <c r="Q20" s="43">
        <f t="shared" ref="Q20:R20" si="10">C20+E20+G20+I20+K20+M20+O20</f>
        <v>0</v>
      </c>
      <c r="R20" s="43">
        <f t="shared" si="10"/>
        <v>0</v>
      </c>
      <c r="S20" s="44">
        <f>B20+Q20-R20</f>
        <v>0</v>
      </c>
      <c r="T20" s="44">
        <f t="shared" ref="T20:T30" si="11">R20/5</f>
        <v>0</v>
      </c>
      <c r="U20" s="46">
        <f t="shared" si="0"/>
        <v>0</v>
      </c>
    </row>
    <row r="21" spans="1:21" ht="7.35" customHeight="1" thickBot="1" x14ac:dyDescent="0.35">
      <c r="A21" s="34"/>
      <c r="B21" s="137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15"/>
    </row>
    <row r="22" spans="1:21" x14ac:dyDescent="0.3">
      <c r="A22" s="19" t="str">
        <f>Start!A22</f>
        <v>SWP Mailbox</v>
      </c>
      <c r="B22" s="135">
        <f>'KW 5'!S22</f>
        <v>0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20"/>
      <c r="N22" s="20"/>
      <c r="O22" s="20"/>
      <c r="P22" s="20"/>
      <c r="Q22" s="21">
        <f t="shared" ref="Q22:R24" si="12">C22+E22+G22+I22+K22+M22+O22</f>
        <v>0</v>
      </c>
      <c r="R22" s="21">
        <f t="shared" si="12"/>
        <v>0</v>
      </c>
      <c r="S22" s="22">
        <f>B22+Q22-R22</f>
        <v>0</v>
      </c>
      <c r="T22" s="22">
        <f t="shared" si="11"/>
        <v>0</v>
      </c>
      <c r="U22" s="23">
        <f t="shared" si="0"/>
        <v>0</v>
      </c>
    </row>
    <row r="23" spans="1:21" x14ac:dyDescent="0.3">
      <c r="A23" s="24" t="str">
        <f>Start!A23</f>
        <v>KCB Mailbox</v>
      </c>
      <c r="B23" s="135">
        <f>'KW 5'!S23</f>
        <v>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25"/>
      <c r="N23" s="25"/>
      <c r="O23" s="25"/>
      <c r="P23" s="25"/>
      <c r="Q23" s="26">
        <f t="shared" si="12"/>
        <v>0</v>
      </c>
      <c r="R23" s="26">
        <f t="shared" si="12"/>
        <v>0</v>
      </c>
      <c r="S23" s="27">
        <f>B23+Q23-R23</f>
        <v>0</v>
      </c>
      <c r="T23" s="27">
        <f t="shared" si="11"/>
        <v>0</v>
      </c>
      <c r="U23" s="28">
        <f t="shared" si="0"/>
        <v>0</v>
      </c>
    </row>
    <row r="24" spans="1:21" ht="15" thickBot="1" x14ac:dyDescent="0.35">
      <c r="A24" s="29" t="str">
        <f>Start!A24</f>
        <v>SNOW</v>
      </c>
      <c r="B24" s="135">
        <f>'KW 5'!S24</f>
        <v>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30"/>
      <c r="N24" s="30"/>
      <c r="O24" s="30"/>
      <c r="P24" s="30"/>
      <c r="Q24" s="31">
        <f t="shared" si="12"/>
        <v>0</v>
      </c>
      <c r="R24" s="31">
        <f t="shared" si="12"/>
        <v>0</v>
      </c>
      <c r="S24" s="32">
        <f t="shared" ref="S24:S30" si="13">B24+Q24-R24</f>
        <v>0</v>
      </c>
      <c r="T24" s="32">
        <f t="shared" si="11"/>
        <v>0</v>
      </c>
      <c r="U24" s="33">
        <f t="shared" si="0"/>
        <v>0</v>
      </c>
    </row>
    <row r="25" spans="1:21" ht="7.35" customHeight="1" thickBot="1" x14ac:dyDescent="0.35">
      <c r="A25" s="34"/>
      <c r="B25" s="137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15"/>
    </row>
    <row r="26" spans="1:21" x14ac:dyDescent="0.3">
      <c r="A26" s="19" t="str">
        <f>Start!A26</f>
        <v>Antragsvorprüfung</v>
      </c>
      <c r="B26" s="134">
        <f>'KW 5'!S26</f>
        <v>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20"/>
      <c r="N26" s="20"/>
      <c r="O26" s="20"/>
      <c r="P26" s="20"/>
      <c r="Q26" s="21">
        <f t="shared" ref="Q26:R28" si="14">C26+E26+G26+I26+K26+M26+O26</f>
        <v>0</v>
      </c>
      <c r="R26" s="21">
        <f t="shared" si="14"/>
        <v>0</v>
      </c>
      <c r="S26" s="22">
        <f t="shared" si="13"/>
        <v>1</v>
      </c>
      <c r="T26" s="22">
        <f t="shared" si="11"/>
        <v>0</v>
      </c>
      <c r="U26" s="23">
        <f t="shared" si="0"/>
        <v>0</v>
      </c>
    </row>
    <row r="27" spans="1:21" x14ac:dyDescent="0.3">
      <c r="A27" s="24" t="str">
        <f>Start!A27</f>
        <v>LV TAZ</v>
      </c>
      <c r="B27" s="135">
        <f>'KW 5'!S27</f>
        <v>48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25"/>
      <c r="N27" s="25"/>
      <c r="O27" s="25"/>
      <c r="P27" s="25"/>
      <c r="Q27" s="26">
        <f t="shared" si="14"/>
        <v>0</v>
      </c>
      <c r="R27" s="26">
        <f t="shared" si="14"/>
        <v>0</v>
      </c>
      <c r="S27" s="27">
        <f t="shared" si="13"/>
        <v>48</v>
      </c>
      <c r="T27" s="27">
        <f t="shared" si="11"/>
        <v>0</v>
      </c>
      <c r="U27" s="28">
        <f t="shared" si="0"/>
        <v>0</v>
      </c>
    </row>
    <row r="28" spans="1:21" ht="15" thickBot="1" x14ac:dyDescent="0.35">
      <c r="A28" s="29" t="str">
        <f>Start!A28</f>
        <v>WGV</v>
      </c>
      <c r="B28" s="136">
        <f>'KW 5'!S28</f>
        <v>7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30"/>
      <c r="N28" s="30"/>
      <c r="O28" s="30"/>
      <c r="P28" s="30"/>
      <c r="Q28" s="31">
        <f t="shared" si="14"/>
        <v>0</v>
      </c>
      <c r="R28" s="31">
        <f t="shared" si="14"/>
        <v>0</v>
      </c>
      <c r="S28" s="32">
        <f t="shared" si="13"/>
        <v>7</v>
      </c>
      <c r="T28" s="32">
        <f t="shared" si="11"/>
        <v>0</v>
      </c>
      <c r="U28" s="33">
        <f t="shared" si="0"/>
        <v>0</v>
      </c>
    </row>
    <row r="29" spans="1:21" ht="7.35" customHeight="1" thickBot="1" x14ac:dyDescent="0.35">
      <c r="A29" s="53"/>
      <c r="B29" s="14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</row>
    <row r="30" spans="1:21" ht="15" thickBot="1" x14ac:dyDescent="0.35">
      <c r="A30" s="41" t="str">
        <f>Start!A30</f>
        <v>Postbearbeitung BCB</v>
      </c>
      <c r="B30" s="135">
        <f>'KW 5'!S30</f>
        <v>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42"/>
      <c r="N30" s="42"/>
      <c r="O30" s="42"/>
      <c r="P30" s="42"/>
      <c r="Q30" s="43">
        <f t="shared" ref="Q30:R30" si="15">C30+E30+G30+I30+K30+M30+O30</f>
        <v>0</v>
      </c>
      <c r="R30" s="43">
        <f t="shared" si="15"/>
        <v>0</v>
      </c>
      <c r="S30" s="44">
        <f t="shared" si="13"/>
        <v>0</v>
      </c>
      <c r="T30" s="44">
        <f t="shared" si="11"/>
        <v>0</v>
      </c>
      <c r="U30" s="46">
        <f t="shared" si="0"/>
        <v>0</v>
      </c>
    </row>
    <row r="31" spans="1:21" ht="15" thickBot="1" x14ac:dyDescent="0.35">
      <c r="A31" s="47" t="s">
        <v>13</v>
      </c>
      <c r="B31" s="55">
        <f>SUM(B20:B30)</f>
        <v>56</v>
      </c>
      <c r="C31" s="55">
        <f>SUM(C20:C30)</f>
        <v>0</v>
      </c>
      <c r="D31" s="55">
        <f t="shared" ref="D31:T31" si="16">SUM(D20:D30)</f>
        <v>0</v>
      </c>
      <c r="E31" s="55">
        <f t="shared" si="16"/>
        <v>0</v>
      </c>
      <c r="F31" s="55">
        <f t="shared" si="16"/>
        <v>0</v>
      </c>
      <c r="G31" s="55">
        <f t="shared" si="16"/>
        <v>0</v>
      </c>
      <c r="H31" s="55">
        <f t="shared" si="16"/>
        <v>0</v>
      </c>
      <c r="I31" s="55">
        <f t="shared" si="16"/>
        <v>0</v>
      </c>
      <c r="J31" s="55">
        <f t="shared" si="16"/>
        <v>0</v>
      </c>
      <c r="K31" s="55">
        <f t="shared" si="16"/>
        <v>0</v>
      </c>
      <c r="L31" s="55">
        <f t="shared" si="16"/>
        <v>0</v>
      </c>
      <c r="M31" s="55">
        <f t="shared" si="16"/>
        <v>0</v>
      </c>
      <c r="N31" s="55">
        <f t="shared" si="16"/>
        <v>0</v>
      </c>
      <c r="O31" s="55">
        <f t="shared" si="16"/>
        <v>0</v>
      </c>
      <c r="P31" s="55">
        <f t="shared" si="16"/>
        <v>0</v>
      </c>
      <c r="Q31" s="55">
        <f t="shared" si="16"/>
        <v>0</v>
      </c>
      <c r="R31" s="55">
        <f t="shared" si="16"/>
        <v>0</v>
      </c>
      <c r="S31" s="55">
        <f t="shared" si="16"/>
        <v>56</v>
      </c>
      <c r="T31" s="55">
        <f t="shared" si="16"/>
        <v>0</v>
      </c>
      <c r="U31" s="55"/>
    </row>
    <row r="32" spans="1:21" ht="15" thickBot="1" x14ac:dyDescent="0.35">
      <c r="B32" s="144"/>
      <c r="U32" s="56"/>
    </row>
    <row r="33" spans="1:21" ht="15" thickBot="1" x14ac:dyDescent="0.35">
      <c r="A33" s="57" t="s">
        <v>18</v>
      </c>
      <c r="B33" s="58">
        <f>SUM(B22:B30)+B20+B18</f>
        <v>58</v>
      </c>
      <c r="C33" s="58">
        <f>SUM(C22:C30)+C20+C18</f>
        <v>0</v>
      </c>
      <c r="D33" s="58">
        <f t="shared" ref="D33:S33" si="17">SUM(D22:D30)+D20+D18</f>
        <v>0</v>
      </c>
      <c r="E33" s="58">
        <f t="shared" si="17"/>
        <v>0</v>
      </c>
      <c r="F33" s="58">
        <f t="shared" si="17"/>
        <v>0</v>
      </c>
      <c r="G33" s="58">
        <f t="shared" si="17"/>
        <v>0</v>
      </c>
      <c r="H33" s="58">
        <f t="shared" si="17"/>
        <v>0</v>
      </c>
      <c r="I33" s="58">
        <f t="shared" si="17"/>
        <v>0</v>
      </c>
      <c r="J33" s="58">
        <f t="shared" si="17"/>
        <v>0</v>
      </c>
      <c r="K33" s="58">
        <f t="shared" si="17"/>
        <v>0</v>
      </c>
      <c r="L33" s="58">
        <f t="shared" si="17"/>
        <v>0</v>
      </c>
      <c r="M33" s="58">
        <f t="shared" si="17"/>
        <v>0</v>
      </c>
      <c r="N33" s="58">
        <f t="shared" si="17"/>
        <v>0</v>
      </c>
      <c r="O33" s="58">
        <f t="shared" si="17"/>
        <v>0</v>
      </c>
      <c r="P33" s="58">
        <f t="shared" si="17"/>
        <v>0</v>
      </c>
      <c r="Q33" s="102">
        <f t="shared" si="17"/>
        <v>0</v>
      </c>
      <c r="R33" s="58">
        <f t="shared" si="17"/>
        <v>0</v>
      </c>
      <c r="S33" s="58">
        <f t="shared" si="17"/>
        <v>58</v>
      </c>
      <c r="T33" s="57">
        <f>SUM(T22:T30)+T22+T18</f>
        <v>0</v>
      </c>
      <c r="U33" s="57"/>
    </row>
    <row r="34" spans="1:21" ht="15" thickBot="1" x14ac:dyDescent="0.35">
      <c r="B34" s="144"/>
      <c r="Q34" s="59"/>
      <c r="R34" s="59"/>
    </row>
    <row r="35" spans="1:21" ht="15.6" thickTop="1" thickBot="1" x14ac:dyDescent="0.35">
      <c r="A35" s="109" t="str">
        <f>Start!$A$35</f>
        <v>Übertrag Archiv Vorwoche</v>
      </c>
      <c r="B35" s="144">
        <f>'KW 5'!S35</f>
        <v>1496</v>
      </c>
      <c r="P35" s="1" t="s">
        <v>107</v>
      </c>
      <c r="Q35" s="106"/>
      <c r="R35" s="107"/>
      <c r="S35" s="145">
        <f t="shared" ref="S35" si="18">B35+Q35-R35</f>
        <v>1496</v>
      </c>
    </row>
    <row r="36" spans="1:21" ht="15" thickBot="1" x14ac:dyDescent="0.35">
      <c r="P36" s="1" t="s">
        <v>108</v>
      </c>
      <c r="Q36" s="103">
        <f>Q33+Q35</f>
        <v>0</v>
      </c>
      <c r="R36" s="104">
        <f t="shared" ref="R36:S36" si="19">R33+R35</f>
        <v>0</v>
      </c>
      <c r="S36" s="105">
        <f t="shared" si="19"/>
        <v>1554</v>
      </c>
    </row>
    <row r="37" spans="1:21" ht="15" thickTop="1" x14ac:dyDescent="0.3">
      <c r="L37" s="1"/>
    </row>
  </sheetData>
  <sheetProtection selectLockedCells="1"/>
  <mergeCells count="5">
    <mergeCell ref="U3:U4"/>
    <mergeCell ref="A3:A4"/>
    <mergeCell ref="B3:B4"/>
    <mergeCell ref="S3:S4"/>
    <mergeCell ref="T3:T4"/>
  </mergeCells>
  <conditionalFormatting sqref="C5:P7 M9:P10">
    <cfRule type="expression" dxfId="684" priority="12">
      <formula>Wochetag($C$3:$P$3,2)&gt;5</formula>
    </cfRule>
  </conditionalFormatting>
  <conditionalFormatting sqref="K25:L25 K29:L29">
    <cfRule type="expression" dxfId="683" priority="11">
      <formula>Wochetag($C$3:$P$3,2)&gt;5</formula>
    </cfRule>
  </conditionalFormatting>
  <conditionalFormatting sqref="C25:J25 C29:J29">
    <cfRule type="expression" dxfId="682" priority="10">
      <formula>Wochetag($C$3:$P$3,2)&gt;5</formula>
    </cfRule>
  </conditionalFormatting>
  <conditionalFormatting sqref="M29:P29">
    <cfRule type="expression" dxfId="681" priority="9">
      <formula>Wochetag($C$3:$P$3,2)&gt;5</formula>
    </cfRule>
  </conditionalFormatting>
  <conditionalFormatting sqref="M11:P11">
    <cfRule type="expression" dxfId="680" priority="8">
      <formula>Wochetag($C$3:$P$3,2)&gt;5</formula>
    </cfRule>
  </conditionalFormatting>
  <conditionalFormatting sqref="C9:L12">
    <cfRule type="expression" dxfId="679" priority="7">
      <formula>Wochetag($C$3:$P$3,2)&gt;5</formula>
    </cfRule>
  </conditionalFormatting>
  <conditionalFormatting sqref="C14:L15">
    <cfRule type="expression" dxfId="678" priority="6">
      <formula>Wochetag($C$3:$P$3,2)&gt;5</formula>
    </cfRule>
  </conditionalFormatting>
  <conditionalFormatting sqref="C17:L17">
    <cfRule type="expression" dxfId="677" priority="5">
      <formula>Wochetag($C$3:$P$3,2)&gt;5</formula>
    </cfRule>
  </conditionalFormatting>
  <conditionalFormatting sqref="C20:L20">
    <cfRule type="expression" dxfId="676" priority="4">
      <formula>Wochetag($C$3:$P$3,2)&gt;5</formula>
    </cfRule>
  </conditionalFormatting>
  <conditionalFormatting sqref="C22:L24">
    <cfRule type="expression" dxfId="675" priority="3">
      <formula>Wochetag($C$3:$P$3,2)&gt;5</formula>
    </cfRule>
  </conditionalFormatting>
  <conditionalFormatting sqref="C26:L28">
    <cfRule type="expression" dxfId="674" priority="2">
      <formula>Wochetag($C$3:$P$3,2)&gt;5</formula>
    </cfRule>
  </conditionalFormatting>
  <conditionalFormatting sqref="C30:L30">
    <cfRule type="expression" dxfId="673" priority="1">
      <formula>Wochetag($C$3:$P$3,2)&gt;5</formula>
    </cfRule>
  </conditionalFormatting>
  <pageMargins left="0.7" right="0.7" top="0.78740157499999996" bottom="0.78740157499999996" header="0.3" footer="0.3"/>
  <pageSetup paperSize="9" orientation="portrait" r:id="rId1"/>
  <headerFooter>
    <oddHeader>&amp;L&amp;"Calibri"&amp;10&amp;K000000Confidential&amp;1#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458C713CA2CD4B9BECB7B75B25707B" ma:contentTypeVersion="0" ma:contentTypeDescription="Ein neues Dokument erstellen." ma:contentTypeScope="" ma:versionID="6b7505f0ba930ffba7befcc1681ec40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6c4a6dd5ef775a5269b08f7de37f93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E5EE82-5134-4497-8636-CAC3D8AA1E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A1FF232-8572-4FDC-B733-B35987A66A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7DAC64-9E59-41E3-8C3F-3C29CB79AE4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57</vt:i4>
      </vt:variant>
    </vt:vector>
  </HeadingPairs>
  <TitlesOfParts>
    <vt:vector size="57" baseType="lpstr">
      <vt:lpstr>Start</vt:lpstr>
      <vt:lpstr>Statistik</vt:lpstr>
      <vt:lpstr>alt KW 53</vt:lpstr>
      <vt:lpstr>KW 1</vt:lpstr>
      <vt:lpstr>KW 2</vt:lpstr>
      <vt:lpstr>KW 3</vt:lpstr>
      <vt:lpstr>KW 4</vt:lpstr>
      <vt:lpstr>KW 5</vt:lpstr>
      <vt:lpstr>KW 6</vt:lpstr>
      <vt:lpstr>KW 7</vt:lpstr>
      <vt:lpstr>KW 8</vt:lpstr>
      <vt:lpstr>KW 9</vt:lpstr>
      <vt:lpstr>KW 10</vt:lpstr>
      <vt:lpstr>KW 11</vt:lpstr>
      <vt:lpstr>KW 12</vt:lpstr>
      <vt:lpstr>KW 13</vt:lpstr>
      <vt:lpstr>KW 14</vt:lpstr>
      <vt:lpstr>KW 15</vt:lpstr>
      <vt:lpstr>KW 16</vt:lpstr>
      <vt:lpstr>KW 17</vt:lpstr>
      <vt:lpstr>KW 18</vt:lpstr>
      <vt:lpstr>KW 19</vt:lpstr>
      <vt:lpstr>KW 20</vt:lpstr>
      <vt:lpstr>KW 21</vt:lpstr>
      <vt:lpstr>KW 22</vt:lpstr>
      <vt:lpstr>KW 23</vt:lpstr>
      <vt:lpstr>KW 24</vt:lpstr>
      <vt:lpstr>KW 25</vt:lpstr>
      <vt:lpstr>KW 26</vt:lpstr>
      <vt:lpstr>KW 27</vt:lpstr>
      <vt:lpstr>KW 28</vt:lpstr>
      <vt:lpstr>KW 29</vt:lpstr>
      <vt:lpstr>KW 30</vt:lpstr>
      <vt:lpstr>KW 31</vt:lpstr>
      <vt:lpstr>KW 32</vt:lpstr>
      <vt:lpstr>KW 33</vt:lpstr>
      <vt:lpstr>KW 34</vt:lpstr>
      <vt:lpstr>KW 35</vt:lpstr>
      <vt:lpstr>KW 36</vt:lpstr>
      <vt:lpstr>KW 37</vt:lpstr>
      <vt:lpstr>KW 38</vt:lpstr>
      <vt:lpstr>KW 39</vt:lpstr>
      <vt:lpstr>KW 40</vt:lpstr>
      <vt:lpstr>KW 41</vt:lpstr>
      <vt:lpstr>KW 42</vt:lpstr>
      <vt:lpstr>KW 43</vt:lpstr>
      <vt:lpstr>KW 44</vt:lpstr>
      <vt:lpstr>KW 45</vt:lpstr>
      <vt:lpstr>KW 46</vt:lpstr>
      <vt:lpstr>KW 47</vt:lpstr>
      <vt:lpstr>KW 48</vt:lpstr>
      <vt:lpstr>KW 49</vt:lpstr>
      <vt:lpstr>KW 50</vt:lpstr>
      <vt:lpstr>KW 51</vt:lpstr>
      <vt:lpstr>KW 52</vt:lpstr>
      <vt:lpstr>KW 53.1</vt:lpstr>
      <vt:lpstr>KW 54</vt:lpstr>
    </vt:vector>
  </TitlesOfParts>
  <Company>Produban 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Christian</dc:creator>
  <cp:lastModifiedBy>Schmidt, Christian</cp:lastModifiedBy>
  <cp:lastPrinted>2021-01-06T15:48:25Z</cp:lastPrinted>
  <dcterms:created xsi:type="dcterms:W3CDTF">2020-12-14T08:29:20Z</dcterms:created>
  <dcterms:modified xsi:type="dcterms:W3CDTF">2021-03-18T09:22:04Z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c41c091-3cbc-4dba-8b59-ce62f19500db_Enabled">
    <vt:lpwstr>True</vt:lpwstr>
  </property>
  <property fmtid="{D5CDD505-2E9C-101B-9397-08002B2CF9AE}" pid="3" name="MSIP_Label_3c41c091-3cbc-4dba-8b59-ce62f19500db_SiteId">
    <vt:lpwstr>35595a02-4d6d-44ac-99e1-f9ab4cd872db</vt:lpwstr>
  </property>
  <property fmtid="{D5CDD505-2E9C-101B-9397-08002B2CF9AE}" pid="4" name="MSIP_Label_3c41c091-3cbc-4dba-8b59-ce62f19500db_Owner">
    <vt:lpwstr>n92993@srtde.santander.de</vt:lpwstr>
  </property>
  <property fmtid="{D5CDD505-2E9C-101B-9397-08002B2CF9AE}" pid="5" name="MSIP_Label_3c41c091-3cbc-4dba-8b59-ce62f19500db_SetDate">
    <vt:lpwstr>2021-01-01T14:28:56.0070773Z</vt:lpwstr>
  </property>
  <property fmtid="{D5CDD505-2E9C-101B-9397-08002B2CF9AE}" pid="6" name="MSIP_Label_3c41c091-3cbc-4dba-8b59-ce62f19500db_Name">
    <vt:lpwstr>Confidential</vt:lpwstr>
  </property>
  <property fmtid="{D5CDD505-2E9C-101B-9397-08002B2CF9AE}" pid="7" name="MSIP_Label_3c41c091-3cbc-4dba-8b59-ce62f19500db_Application">
    <vt:lpwstr>Microsoft Azure Information Protection</vt:lpwstr>
  </property>
  <property fmtid="{D5CDD505-2E9C-101B-9397-08002B2CF9AE}" pid="8" name="MSIP_Label_3c41c091-3cbc-4dba-8b59-ce62f19500db_ActionId">
    <vt:lpwstr>7ff9a8ce-593d-4c42-a4a5-90792888a0f1</vt:lpwstr>
  </property>
  <property fmtid="{D5CDD505-2E9C-101B-9397-08002B2CF9AE}" pid="9" name="MSIP_Label_3c41c091-3cbc-4dba-8b59-ce62f19500db_Extended_MSFT_Method">
    <vt:lpwstr>Manual</vt:lpwstr>
  </property>
  <property fmtid="{D5CDD505-2E9C-101B-9397-08002B2CF9AE}" pid="10" name="Sensitivity">
    <vt:lpwstr>Confidential</vt:lpwstr>
  </property>
  <property fmtid="{D5CDD505-2E9C-101B-9397-08002B2CF9AE}" pid="11" name="ContentTypeId">
    <vt:lpwstr>0x01010012458C713CA2CD4B9BECB7B75B25707B</vt:lpwstr>
  </property>
</Properties>
</file>